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s://intranet-me.sunnikan.com/04_Methodologie_Missions/Meth_Formation/"/>
    </mc:Choice>
  </mc:AlternateContent>
  <bookViews>
    <workbookView xWindow="0" yWindow="0" windowWidth="19200" windowHeight="12180" tabRatio="619" activeTab="3"/>
  </bookViews>
  <sheets>
    <sheet name="Mode d'emploi" sheetId="7" r:id="rId1"/>
    <sheet name="Coût théorique" sheetId="3" r:id="rId2"/>
    <sheet name="coût prospection" sheetId="1" r:id="rId3"/>
    <sheet name="Formations réalisées" sheetId="2" r:id="rId4"/>
    <sheet name="Evaluations" sheetId="8" r:id="rId5"/>
  </sheets>
  <definedNames>
    <definedName name="Rentabilité" localSheetId="1">'Coût théorique'!#REF!</definedName>
  </definedNames>
  <calcPr calcId="152511"/>
</workbook>
</file>

<file path=xl/calcChain.xml><?xml version="1.0" encoding="utf-8"?>
<calcChain xmlns="http://schemas.openxmlformats.org/spreadsheetml/2006/main">
  <c r="G23" i="8" l="1"/>
  <c r="F23" i="8"/>
  <c r="E23" i="8"/>
  <c r="D23" i="8"/>
  <c r="K20" i="2"/>
  <c r="L20" i="2"/>
  <c r="M20" i="2" s="1"/>
  <c r="M36" i="2" s="1"/>
  <c r="K21" i="2"/>
  <c r="L21" i="2" s="1"/>
  <c r="M21" i="2" s="1"/>
  <c r="K22" i="2"/>
  <c r="L22" i="2"/>
  <c r="M22" i="2" s="1"/>
  <c r="G21" i="8"/>
  <c r="F21" i="8"/>
  <c r="E21" i="8"/>
  <c r="D21" i="8"/>
  <c r="G19" i="2"/>
  <c r="E18" i="2"/>
  <c r="G18" i="2"/>
  <c r="G16" i="2"/>
  <c r="F17" i="2"/>
  <c r="G16" i="8"/>
  <c r="H31" i="8"/>
  <c r="H30" i="8"/>
  <c r="H29" i="8"/>
  <c r="H28" i="8"/>
  <c r="H27" i="8"/>
  <c r="H26" i="8"/>
  <c r="H25" i="8"/>
  <c r="H24" i="8"/>
  <c r="H23" i="8"/>
  <c r="H22" i="8"/>
  <c r="H21" i="8"/>
  <c r="H20" i="8"/>
  <c r="H19" i="8"/>
  <c r="H18" i="8"/>
  <c r="H17" i="8"/>
  <c r="H11" i="8"/>
  <c r="H6" i="8"/>
  <c r="F16" i="8"/>
  <c r="E16" i="8"/>
  <c r="D16" i="8"/>
  <c r="H16" i="8" s="1"/>
  <c r="D15" i="2"/>
  <c r="D14" i="2"/>
  <c r="G15" i="8"/>
  <c r="F15" i="8"/>
  <c r="E15" i="8"/>
  <c r="D15" i="8"/>
  <c r="H15" i="8" s="1"/>
  <c r="J12" i="8"/>
  <c r="J11" i="8"/>
  <c r="K31" i="8"/>
  <c r="J31" i="8"/>
  <c r="K30" i="8"/>
  <c r="J30" i="8"/>
  <c r="K29" i="8"/>
  <c r="J29" i="8"/>
  <c r="K28" i="8"/>
  <c r="J28" i="8"/>
  <c r="K27" i="8"/>
  <c r="J27" i="8"/>
  <c r="K26" i="8"/>
  <c r="J26" i="8"/>
  <c r="K25" i="8"/>
  <c r="J25" i="8"/>
  <c r="K24" i="8"/>
  <c r="J24" i="8"/>
  <c r="K23" i="8"/>
  <c r="J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K14" i="8"/>
  <c r="J14" i="8"/>
  <c r="I31" i="8"/>
  <c r="I30" i="8"/>
  <c r="I29" i="8"/>
  <c r="I28" i="8"/>
  <c r="I27" i="8"/>
  <c r="I26" i="8"/>
  <c r="I25" i="8"/>
  <c r="I24" i="8"/>
  <c r="I23" i="8"/>
  <c r="I22" i="8"/>
  <c r="I21" i="8"/>
  <c r="I20" i="8"/>
  <c r="I19" i="8"/>
  <c r="I18" i="8"/>
  <c r="I17" i="8"/>
  <c r="I16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C16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G13" i="8"/>
  <c r="F13" i="8"/>
  <c r="E13" i="8"/>
  <c r="H13" i="8" s="1"/>
  <c r="D13" i="8"/>
  <c r="G4" i="8"/>
  <c r="G34" i="8" s="1"/>
  <c r="G6" i="8"/>
  <c r="G7" i="8"/>
  <c r="G12" i="8"/>
  <c r="G14" i="8"/>
  <c r="F4" i="8"/>
  <c r="F34" i="8" s="1"/>
  <c r="F6" i="8"/>
  <c r="F7" i="8"/>
  <c r="F12" i="8"/>
  <c r="F14" i="8"/>
  <c r="E4" i="8"/>
  <c r="E34" i="8" s="1"/>
  <c r="E6" i="8"/>
  <c r="E7" i="8"/>
  <c r="E12" i="8"/>
  <c r="E14" i="8"/>
  <c r="D4" i="8"/>
  <c r="H4" i="8" s="1"/>
  <c r="D6" i="8"/>
  <c r="D7" i="8"/>
  <c r="H7" i="8" s="1"/>
  <c r="D12" i="8"/>
  <c r="H12" i="8" s="1"/>
  <c r="D14" i="8"/>
  <c r="H14" i="8" s="1"/>
  <c r="G33" i="8"/>
  <c r="E33" i="8"/>
  <c r="F32" i="8"/>
  <c r="D33" i="8"/>
  <c r="H12" i="2"/>
  <c r="I12" i="2"/>
  <c r="J12" i="2" s="1"/>
  <c r="F5" i="2"/>
  <c r="H5" i="2" s="1"/>
  <c r="D5" i="2"/>
  <c r="A3" i="1"/>
  <c r="B3" i="1"/>
  <c r="K3" i="1" s="1"/>
  <c r="D6" i="2"/>
  <c r="F6" i="2"/>
  <c r="K6" i="2" s="1"/>
  <c r="G6" i="2"/>
  <c r="H6" i="2"/>
  <c r="E7" i="2"/>
  <c r="F7" i="2" s="1"/>
  <c r="H7" i="2" s="1"/>
  <c r="E8" i="2"/>
  <c r="F8" i="2"/>
  <c r="E9" i="2"/>
  <c r="F9" i="2" s="1"/>
  <c r="H9" i="2" s="1"/>
  <c r="D10" i="2"/>
  <c r="F10" i="2"/>
  <c r="E10" i="2"/>
  <c r="D11" i="2"/>
  <c r="F11" i="2"/>
  <c r="G11" i="2"/>
  <c r="H11" i="2"/>
  <c r="I11" i="2" s="1"/>
  <c r="F13" i="2"/>
  <c r="H13" i="2"/>
  <c r="E13" i="2"/>
  <c r="I13" i="2"/>
  <c r="K12" i="2"/>
  <c r="L12" i="2"/>
  <c r="M12" i="2" s="1"/>
  <c r="K5" i="2"/>
  <c r="K7" i="2"/>
  <c r="L7" i="2" s="1"/>
  <c r="K11" i="2"/>
  <c r="L11" i="2" s="1"/>
  <c r="K13" i="2"/>
  <c r="L13" i="2"/>
  <c r="M13" i="2" s="1"/>
  <c r="J3" i="8"/>
  <c r="J4" i="8"/>
  <c r="J5" i="8"/>
  <c r="J6" i="8"/>
  <c r="J7" i="8"/>
  <c r="J8" i="8"/>
  <c r="J9" i="8"/>
  <c r="J10" i="8"/>
  <c r="J13" i="8"/>
  <c r="I3" i="8"/>
  <c r="I4" i="8"/>
  <c r="I5" i="8"/>
  <c r="I6" i="8"/>
  <c r="I7" i="8"/>
  <c r="I8" i="8"/>
  <c r="I9" i="8"/>
  <c r="I10" i="8"/>
  <c r="I11" i="8"/>
  <c r="I12" i="8"/>
  <c r="I13" i="8"/>
  <c r="A5" i="8"/>
  <c r="B5" i="8"/>
  <c r="C5" i="8"/>
  <c r="A6" i="8"/>
  <c r="B6" i="8"/>
  <c r="C6" i="8"/>
  <c r="A7" i="8"/>
  <c r="B7" i="8"/>
  <c r="C7" i="8"/>
  <c r="A8" i="8"/>
  <c r="B8" i="8"/>
  <c r="C8" i="8"/>
  <c r="A9" i="8"/>
  <c r="B9" i="8"/>
  <c r="C9" i="8"/>
  <c r="A10" i="8"/>
  <c r="B10" i="8"/>
  <c r="C10" i="8"/>
  <c r="A11" i="8"/>
  <c r="B11" i="8"/>
  <c r="A12" i="8"/>
  <c r="B12" i="8"/>
  <c r="C12" i="8"/>
  <c r="A13" i="8"/>
  <c r="B13" i="8"/>
  <c r="C13" i="8"/>
  <c r="B14" i="8"/>
  <c r="C14" i="8"/>
  <c r="B9" i="3"/>
  <c r="B22" i="3"/>
  <c r="F4" i="2"/>
  <c r="D4" i="2"/>
  <c r="I2" i="2"/>
  <c r="J2" i="2"/>
  <c r="J32" i="2" s="1"/>
  <c r="K3" i="2"/>
  <c r="L3" i="2" s="1"/>
  <c r="K2" i="2"/>
  <c r="L2" i="2"/>
  <c r="M2" i="2" s="1"/>
  <c r="M32" i="2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K7" i="1"/>
  <c r="L7" i="1"/>
  <c r="H6" i="1"/>
  <c r="A6" i="1"/>
  <c r="K6" i="1" s="1"/>
  <c r="L6" i="1" s="1"/>
  <c r="K5" i="1"/>
  <c r="L5" i="1"/>
  <c r="K4" i="1"/>
  <c r="L4" i="1"/>
  <c r="K30" i="2"/>
  <c r="K29" i="2"/>
  <c r="K28" i="2"/>
  <c r="K27" i="2"/>
  <c r="K26" i="2"/>
  <c r="K25" i="2"/>
  <c r="K24" i="2"/>
  <c r="K23" i="2"/>
  <c r="K19" i="2"/>
  <c r="K18" i="2"/>
  <c r="K17" i="2"/>
  <c r="K16" i="2"/>
  <c r="K15" i="2"/>
  <c r="K14" i="2"/>
  <c r="L30" i="2"/>
  <c r="L29" i="2"/>
  <c r="L28" i="2"/>
  <c r="L27" i="2"/>
  <c r="L26" i="2"/>
  <c r="L25" i="2"/>
  <c r="L24" i="2"/>
  <c r="L23" i="2"/>
  <c r="L19" i="2"/>
  <c r="L18" i="2"/>
  <c r="L17" i="2"/>
  <c r="L16" i="2"/>
  <c r="L15" i="2"/>
  <c r="L14" i="2"/>
  <c r="M30" i="2"/>
  <c r="M29" i="2"/>
  <c r="M28" i="2"/>
  <c r="M27" i="2"/>
  <c r="M26" i="2"/>
  <c r="M25" i="2"/>
  <c r="M24" i="2"/>
  <c r="M23" i="2"/>
  <c r="M19" i="2"/>
  <c r="M18" i="2"/>
  <c r="M17" i="2"/>
  <c r="M35" i="2" s="1"/>
  <c r="M16" i="2"/>
  <c r="M15" i="2"/>
  <c r="M14" i="2"/>
  <c r="B19" i="3"/>
  <c r="G19" i="3" s="1"/>
  <c r="J19" i="3" s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H30" i="2"/>
  <c r="H29" i="2"/>
  <c r="I29" i="2" s="1"/>
  <c r="H28" i="2"/>
  <c r="H27" i="2"/>
  <c r="I27" i="2" s="1"/>
  <c r="H26" i="2"/>
  <c r="H25" i="2"/>
  <c r="I25" i="2" s="1"/>
  <c r="H24" i="2"/>
  <c r="H23" i="2"/>
  <c r="I23" i="2" s="1"/>
  <c r="H22" i="2"/>
  <c r="H21" i="2"/>
  <c r="I21" i="2" s="1"/>
  <c r="H20" i="2"/>
  <c r="H19" i="2"/>
  <c r="I19" i="2" s="1"/>
  <c r="H18" i="2"/>
  <c r="H17" i="2"/>
  <c r="I17" i="2" s="1"/>
  <c r="H16" i="2"/>
  <c r="H15" i="2"/>
  <c r="I15" i="2" s="1"/>
  <c r="H14" i="2"/>
  <c r="C17" i="3"/>
  <c r="H17" i="3" s="1"/>
  <c r="K17" i="3" s="1"/>
  <c r="C18" i="3"/>
  <c r="H18" i="3"/>
  <c r="K18" i="3" s="1"/>
  <c r="C19" i="3"/>
  <c r="H19" i="3" s="1"/>
  <c r="K19" i="3" s="1"/>
  <c r="C20" i="3"/>
  <c r="H20" i="3"/>
  <c r="K20" i="3" s="1"/>
  <c r="C21" i="3"/>
  <c r="H21" i="3" s="1"/>
  <c r="K21" i="3" s="1"/>
  <c r="C22" i="3"/>
  <c r="H22" i="3"/>
  <c r="K22" i="3" s="1"/>
  <c r="C23" i="3"/>
  <c r="H23" i="3" s="1"/>
  <c r="K23" i="3" s="1"/>
  <c r="C24" i="3"/>
  <c r="H24" i="3"/>
  <c r="K24" i="3" s="1"/>
  <c r="B17" i="3"/>
  <c r="G17" i="3"/>
  <c r="B18" i="3"/>
  <c r="G18" i="3" s="1"/>
  <c r="J18" i="3"/>
  <c r="B20" i="3"/>
  <c r="G20" i="3"/>
  <c r="J20" i="3" s="1"/>
  <c r="B21" i="3"/>
  <c r="G21" i="3" s="1"/>
  <c r="J21" i="3" s="1"/>
  <c r="B23" i="3"/>
  <c r="G23" i="3"/>
  <c r="J23" i="3" s="1"/>
  <c r="B24" i="3"/>
  <c r="G24" i="3" s="1"/>
  <c r="J24" i="3"/>
  <c r="E24" i="3"/>
  <c r="E23" i="3"/>
  <c r="E22" i="3"/>
  <c r="D24" i="3"/>
  <c r="D23" i="3"/>
  <c r="D22" i="3"/>
  <c r="E21" i="3"/>
  <c r="E20" i="3"/>
  <c r="E19" i="3"/>
  <c r="E18" i="3"/>
  <c r="E17" i="3"/>
  <c r="D21" i="3"/>
  <c r="D20" i="3"/>
  <c r="D19" i="3"/>
  <c r="D18" i="3"/>
  <c r="D17" i="3"/>
  <c r="I30" i="2"/>
  <c r="I28" i="2"/>
  <c r="I26" i="2"/>
  <c r="I24" i="2"/>
  <c r="I22" i="2"/>
  <c r="J22" i="2" s="1"/>
  <c r="I20" i="2"/>
  <c r="J20" i="2" s="1"/>
  <c r="I18" i="2"/>
  <c r="J18" i="2" s="1"/>
  <c r="I16" i="2"/>
  <c r="J16" i="2" s="1"/>
  <c r="I14" i="2"/>
  <c r="J14" i="2" s="1"/>
  <c r="J30" i="2"/>
  <c r="J29" i="2"/>
  <c r="J28" i="2"/>
  <c r="J27" i="2"/>
  <c r="J26" i="2"/>
  <c r="J25" i="2"/>
  <c r="J24" i="2"/>
  <c r="J23" i="2"/>
  <c r="J19" i="2"/>
  <c r="J15" i="2"/>
  <c r="I9" i="2" l="1"/>
  <c r="J9" i="2"/>
  <c r="K25" i="3"/>
  <c r="I7" i="2"/>
  <c r="J7" i="2" s="1"/>
  <c r="J17" i="3"/>
  <c r="J25" i="3" s="1"/>
  <c r="H4" i="2"/>
  <c r="K4" i="2"/>
  <c r="H3" i="2"/>
  <c r="G22" i="3"/>
  <c r="J22" i="3" s="1"/>
  <c r="H10" i="2"/>
  <c r="K10" i="2"/>
  <c r="H8" i="2"/>
  <c r="K8" i="2"/>
  <c r="E6" i="2"/>
  <c r="E4" i="2"/>
  <c r="L3" i="1"/>
  <c r="J17" i="2"/>
  <c r="J21" i="2"/>
  <c r="H25" i="3"/>
  <c r="M3" i="2"/>
  <c r="M11" i="2"/>
  <c r="K9" i="2"/>
  <c r="M7" i="2"/>
  <c r="L6" i="2"/>
  <c r="M6" i="2" s="1"/>
  <c r="J13" i="2"/>
  <c r="J11" i="2"/>
  <c r="I6" i="2"/>
  <c r="J6" i="2" s="1"/>
  <c r="E5" i="2"/>
  <c r="L5" i="2" s="1"/>
  <c r="M5" i="2" s="1"/>
  <c r="I5" i="2"/>
  <c r="J5" i="2" s="1"/>
  <c r="E32" i="8"/>
  <c r="G32" i="8"/>
  <c r="F33" i="8"/>
  <c r="D34" i="8"/>
  <c r="L9" i="2" l="1"/>
  <c r="M9" i="2"/>
  <c r="J8" i="2"/>
  <c r="I8" i="2"/>
  <c r="I10" i="2"/>
  <c r="J10" i="2" s="1"/>
  <c r="J3" i="2"/>
  <c r="I3" i="2"/>
  <c r="J4" i="2"/>
  <c r="I4" i="2"/>
  <c r="M8" i="2"/>
  <c r="M34" i="2" s="1"/>
  <c r="L8" i="2"/>
  <c r="M10" i="2"/>
  <c r="L10" i="2"/>
  <c r="M4" i="2"/>
  <c r="M33" i="2" s="1"/>
  <c r="L4" i="2"/>
  <c r="G25" i="3"/>
  <c r="J34" i="2" l="1"/>
  <c r="J33" i="2"/>
</calcChain>
</file>

<file path=xl/sharedStrings.xml><?xml version="1.0" encoding="utf-8"?>
<sst xmlns="http://schemas.openxmlformats.org/spreadsheetml/2006/main" count="218" uniqueCount="144">
  <si>
    <t>Date</t>
  </si>
  <si>
    <t>Date d'envoi</t>
  </si>
  <si>
    <t>Formations</t>
  </si>
  <si>
    <t>Formation</t>
  </si>
  <si>
    <t>Plaquette</t>
  </si>
  <si>
    <t>Enveloppe</t>
  </si>
  <si>
    <t>Timbre</t>
  </si>
  <si>
    <t>eMail</t>
  </si>
  <si>
    <t>21-22/10/2003</t>
  </si>
  <si>
    <t>Secrétaires</t>
  </si>
  <si>
    <t>2-3/12/2003</t>
  </si>
  <si>
    <t>01 à 09/2003</t>
  </si>
  <si>
    <t>15-16/01/2004</t>
  </si>
  <si>
    <t>Savoir-faire Audit</t>
  </si>
  <si>
    <t>Coût unitaire (HT)</t>
  </si>
  <si>
    <t>Coût de prospection par formation (HT)</t>
  </si>
  <si>
    <t>1 jour</t>
  </si>
  <si>
    <t>2 jours</t>
  </si>
  <si>
    <t>Formation à créer</t>
  </si>
  <si>
    <t>Formation "rôdée"</t>
  </si>
  <si>
    <t>Données préalables sur la formation</t>
  </si>
  <si>
    <t>Temps administratif (devis, démarchage…) en heures/participant</t>
  </si>
  <si>
    <t>Location salle (HT)</t>
  </si>
  <si>
    <t>Déjeuner+ 3 pauses / personne (HT)</t>
  </si>
  <si>
    <t>Nombre de participants</t>
  </si>
  <si>
    <t>Coût consultant (2002) (HT)=</t>
  </si>
  <si>
    <t>(charges/(nb jour an 215*FTE))</t>
  </si>
  <si>
    <t>Seuil de prix à pratiquer</t>
  </si>
  <si>
    <t>(12 personnes; Mercure Bercy) (290 HT Mercure Lyon)</t>
  </si>
  <si>
    <t>pour Formation à créer</t>
  </si>
  <si>
    <t>Marge 30 %</t>
  </si>
  <si>
    <t>Prix minimum (HT) à pratiquer</t>
  </si>
  <si>
    <t>moyenne :</t>
  </si>
  <si>
    <t>Coût théorique des formations (HT)   [formation inter-entreprise !]</t>
  </si>
  <si>
    <t>inter et intra cumulé</t>
  </si>
  <si>
    <t>=données à compléter</t>
  </si>
  <si>
    <t>Après chaque opération de communication, en liaison avec une formation :</t>
  </si>
  <si>
    <t>Les résultats sont calculés automatiquement, cases roses.</t>
  </si>
  <si>
    <t>Après chaque formation réalisée :</t>
  </si>
  <si>
    <t>Compléter les données de l'onglet "Coût prospection" (même lors d'un envoi e-mail), cases bleues.</t>
  </si>
  <si>
    <t>[Rappel moyenne concurrents: 735 pour 1 jour / 1245 pour 2 jours]</t>
  </si>
  <si>
    <t>faire un report des résultats de l'onglet "Coût prospection"</t>
  </si>
  <si>
    <t>Coût consultant (2003) (HT)=</t>
  </si>
  <si>
    <t>Coût consultant (2004) (HT)=</t>
  </si>
  <si>
    <t>Mise à jour : 25/11/2203</t>
  </si>
  <si>
    <t>1-</t>
  </si>
  <si>
    <t>2-</t>
  </si>
  <si>
    <t>Compléter les données de l'onglet "Formations réalisées", cases bleues.</t>
  </si>
  <si>
    <t>Préciser si la formation est intra ou inter-entreprises. (1 ligne par formation)</t>
  </si>
  <si>
    <t>Journée(s) de rédaction/mise à jour</t>
  </si>
  <si>
    <t>(-location -repas)</t>
  </si>
  <si>
    <t>Pour mettre à jour le fichier Données_Communication_Formation_Résultats</t>
  </si>
  <si>
    <r>
      <t xml:space="preserve">Coût de prospection
</t>
    </r>
    <r>
      <rPr>
        <b/>
        <sz val="8"/>
        <rFont val="Arial"/>
        <family val="2"/>
      </rPr>
      <t>(report de l'onglet "Coût prospection")</t>
    </r>
  </si>
  <si>
    <t>inter (GM+FAN)</t>
  </si>
  <si>
    <t>inter (FAN)</t>
  </si>
  <si>
    <t>Coût location de salle, repas</t>
  </si>
  <si>
    <t>Coût de prospection :</t>
  </si>
  <si>
    <t>Projet loi Huriet</t>
  </si>
  <si>
    <t>Nombre</t>
  </si>
  <si>
    <r>
      <t>Paiement reçu</t>
    </r>
    <r>
      <rPr>
        <b/>
        <sz val="8"/>
        <rFont val="Arial"/>
        <family val="2"/>
      </rPr>
      <t xml:space="preserve"> (quelque soit le nombre de participants)</t>
    </r>
  </si>
  <si>
    <t>Management Qualité 2-3/12/03</t>
  </si>
  <si>
    <t>Secrétaires 08/01/04</t>
  </si>
  <si>
    <t>Savoir-Faire Audit 15-16/01/04</t>
  </si>
  <si>
    <r>
      <t xml:space="preserve">Rentabilité </t>
    </r>
    <r>
      <rPr>
        <b/>
        <sz val="8"/>
        <rFont val="Arial"/>
        <family val="2"/>
      </rPr>
      <t>(coût réel)</t>
    </r>
  </si>
  <si>
    <t>+Mélanie et Sandra</t>
  </si>
  <si>
    <t>+Manuela</t>
  </si>
  <si>
    <t>(location+repas+pauses:1360) +V Coste (Cardialpha)</t>
  </si>
  <si>
    <t>Nb de participants</t>
  </si>
  <si>
    <t>moy 2000-2002</t>
  </si>
  <si>
    <t>Coût par plaquette</t>
  </si>
  <si>
    <t>Nombre d'information par plaquette</t>
  </si>
  <si>
    <r>
      <t>Bénéfice</t>
    </r>
    <r>
      <rPr>
        <b/>
        <sz val="8"/>
        <rFont val="Arial"/>
        <family val="2"/>
      </rPr>
      <t xml:space="preserve"> (coût réel)</t>
    </r>
  </si>
  <si>
    <t>02-03-04/2004</t>
  </si>
  <si>
    <t>Projet Loi Huriet Pfizer</t>
  </si>
  <si>
    <t>intra (FAN, SD)</t>
  </si>
  <si>
    <t>29-30/04/04</t>
  </si>
  <si>
    <t>Projet Loi Huriet MAPI</t>
  </si>
  <si>
    <t>intra (GM)</t>
  </si>
  <si>
    <t>-</t>
  </si>
  <si>
    <t>Management Qualité</t>
  </si>
  <si>
    <t>Projet Loi Huriet NAXIS</t>
  </si>
  <si>
    <r>
      <t>Bénéfice (</t>
    </r>
    <r>
      <rPr>
        <b/>
        <sz val="8"/>
        <rFont val="Arial"/>
        <family val="2"/>
      </rPr>
      <t>/devis)</t>
    </r>
  </si>
  <si>
    <r>
      <t xml:space="preserve">Rentabilité </t>
    </r>
    <r>
      <rPr>
        <b/>
        <sz val="8"/>
        <rFont val="Arial"/>
        <family val="2"/>
      </rPr>
      <t>(/devis)</t>
    </r>
  </si>
  <si>
    <r>
      <t xml:space="preserve">Coût réel de la formation
</t>
    </r>
    <r>
      <rPr>
        <b/>
        <sz val="8"/>
        <rFont val="Arial"/>
        <family val="2"/>
      </rPr>
      <t>("temps préparation"+ "coût location salle, repas")</t>
    </r>
  </si>
  <si>
    <r>
      <t xml:space="preserve">Temps de préparation </t>
    </r>
    <r>
      <rPr>
        <b/>
        <sz val="8"/>
        <rFont val="Arial"/>
        <family val="2"/>
      </rPr>
      <t>(rédaction, admin)</t>
    </r>
    <r>
      <rPr>
        <b/>
        <sz val="7"/>
        <rFont val="Arial"/>
        <family val="2"/>
      </rPr>
      <t xml:space="preserve"> </t>
    </r>
    <r>
      <rPr>
        <b/>
        <sz val="8"/>
        <rFont val="Arial"/>
        <family val="2"/>
      </rPr>
      <t xml:space="preserve">+ </t>
    </r>
    <r>
      <rPr>
        <b/>
        <sz val="10"/>
        <rFont val="Arial"/>
        <family val="2"/>
      </rPr>
      <t>Formation</t>
    </r>
    <r>
      <rPr>
        <b/>
        <sz val="8"/>
        <rFont val="Arial"/>
        <family val="2"/>
      </rPr>
      <t xml:space="preserve"> (en jours)</t>
    </r>
  </si>
  <si>
    <t>temps approx</t>
  </si>
  <si>
    <t>Nombre de  contacts</t>
  </si>
  <si>
    <t>Moyenne 2000-2002</t>
  </si>
  <si>
    <t>Moyenne 2003</t>
  </si>
  <si>
    <t>Moyenne 2004</t>
  </si>
  <si>
    <t>BPC Investigateur Novo Nordisk</t>
  </si>
  <si>
    <t>Projet Loi Huriet Novo Nordisk</t>
  </si>
  <si>
    <r>
      <t xml:space="preserve">Coût théorique de la formation
</t>
    </r>
    <r>
      <rPr>
        <b/>
        <sz val="8"/>
        <rFont val="Arial"/>
        <family val="2"/>
      </rPr>
      <t>(1000 HT/j)</t>
    </r>
  </si>
  <si>
    <t>inter (EM)</t>
  </si>
  <si>
    <t>Type</t>
  </si>
  <si>
    <t>Nb
de participants</t>
  </si>
  <si>
    <t>Contenu de la formation</t>
  </si>
  <si>
    <t>Méthode et supports</t>
  </si>
  <si>
    <t>Satisfaction des besoins</t>
  </si>
  <si>
    <t>Satisfaction globale</t>
  </si>
  <si>
    <t>EVALUATION (%)</t>
  </si>
  <si>
    <t>MOYENNE :</t>
  </si>
  <si>
    <t>CIC Marseille - MAJ Loi Huriet</t>
  </si>
  <si>
    <t>Sessions Pfizer</t>
  </si>
  <si>
    <t>Contenu</t>
  </si>
  <si>
    <t>Méthode</t>
  </si>
  <si>
    <t>Satisfaction</t>
  </si>
  <si>
    <t>Global</t>
  </si>
  <si>
    <t>14-17HOO</t>
  </si>
  <si>
    <t>9H30-12H30</t>
  </si>
  <si>
    <t>14-17H30</t>
  </si>
  <si>
    <t>14-16H00</t>
  </si>
  <si>
    <t>MATIN</t>
  </si>
  <si>
    <t>14H00-17H00</t>
  </si>
  <si>
    <t>14H00-17H30</t>
  </si>
  <si>
    <t>(SD)</t>
  </si>
  <si>
    <t>14H00-16H15</t>
  </si>
  <si>
    <t>Si inférieur à 80% =&gt; analyse et action nécessaires</t>
  </si>
  <si>
    <t>+1 jour de prépa de Cdrom !!</t>
  </si>
  <si>
    <t>Remarque : Projet de loi non publié =&gt; présentation sur l'ancien système avec références sur nouveau : dommage + aurait voulu présentation sur la Directive (hors sujet de la formation)</t>
  </si>
  <si>
    <t>16-17/12/04</t>
  </si>
  <si>
    <t>intra (EM)</t>
  </si>
  <si>
    <t>Rq : formation "pratique" "vendue" aux Investigateurs mais "réglementation BPC" demandée NOVO</t>
  </si>
  <si>
    <t>BPC Investigateurs Novo Montpellier</t>
  </si>
  <si>
    <t>BPC Investigateurs Novo PARIS</t>
  </si>
  <si>
    <t>BPC Investigateurs Novo Paris</t>
  </si>
  <si>
    <t>en rouge : &lt;85%</t>
  </si>
  <si>
    <t>Moyenne</t>
  </si>
  <si>
    <t>Dir Eur MAPI</t>
  </si>
  <si>
    <t>intra (SD)</t>
  </si>
  <si>
    <t>1 j de capitalisation+1h40 de questions après formation</t>
  </si>
  <si>
    <t>17-18/03/05</t>
  </si>
  <si>
    <t>inter</t>
  </si>
  <si>
    <t>nb formation liée à la plaquette 1er sem 2005 :</t>
  </si>
  <si>
    <t>Moyenne 2005</t>
  </si>
  <si>
    <t>17-18/11/05</t>
  </si>
  <si>
    <t>nb formation liée à la plaquette4eme sem 2005 :</t>
  </si>
  <si>
    <t>BPC SYNARC</t>
  </si>
  <si>
    <t>Lab centraux FOURNIER</t>
  </si>
  <si>
    <t>LPSP FOURNIER</t>
  </si>
  <si>
    <t>intra (FAN)</t>
  </si>
  <si>
    <t>Moyenne 2006</t>
  </si>
  <si>
    <t>formulaires d'évaluation FOURNIER</t>
  </si>
  <si>
    <t>Analyse : demande plus internationale, avec des exemples concrets (sic), liste des C. Lab européens, réglementation pays de l'Est … + d'info (mais 2h de temps…)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</si>
</sst>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7"/>
      <name val="Arial"/>
      <family val="2"/>
    </font>
    <font>
      <sz val="10"/>
      <color indexed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2" fillId="3" borderId="9" xfId="0" applyFont="1" applyFill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 wrapText="1"/>
    </xf>
    <xf numFmtId="0" fontId="2" fillId="3" borderId="9" xfId="0" applyFont="1" applyFill="1" applyBorder="1" applyAlignment="1" applyProtection="1">
      <alignment horizontal="center" wrapText="1"/>
    </xf>
    <xf numFmtId="0" fontId="0" fillId="2" borderId="0" xfId="0" applyFill="1"/>
    <xf numFmtId="1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 indent="1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1" fontId="0" fillId="2" borderId="14" xfId="0" applyNumberForma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Border="1" applyAlignment="1">
      <alignment horizontal="center"/>
    </xf>
    <xf numFmtId="1" fontId="0" fillId="2" borderId="15" xfId="0" applyNumberFormat="1" applyFill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0" fontId="2" fillId="2" borderId="0" xfId="0" applyFont="1" applyFill="1"/>
    <xf numFmtId="0" fontId="0" fillId="4" borderId="0" xfId="0" applyFill="1" applyAlignment="1">
      <alignment horizontal="center"/>
    </xf>
    <xf numFmtId="0" fontId="0" fillId="2" borderId="0" xfId="0" quotePrefix="1" applyFill="1"/>
    <xf numFmtId="0" fontId="0" fillId="4" borderId="8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0" xfId="0" applyNumberFormat="1" applyFill="1" applyAlignment="1" applyProtection="1">
      <alignment horizontal="center"/>
      <protection locked="0"/>
    </xf>
    <xf numFmtId="1" fontId="0" fillId="2" borderId="18" xfId="0" applyNumberFormat="1" applyFill="1" applyBorder="1" applyAlignment="1">
      <alignment horizontal="center"/>
    </xf>
    <xf numFmtId="1" fontId="0" fillId="2" borderId="19" xfId="0" applyNumberFormat="1" applyFill="1" applyBorder="1" applyAlignment="1">
      <alignment horizontal="center"/>
    </xf>
    <xf numFmtId="1" fontId="0" fillId="2" borderId="20" xfId="0" applyNumberFormat="1" applyFill="1" applyBorder="1" applyAlignment="1">
      <alignment horizontal="center"/>
    </xf>
    <xf numFmtId="1" fontId="0" fillId="2" borderId="21" xfId="0" applyNumberFormat="1" applyFill="1" applyBorder="1" applyAlignment="1">
      <alignment horizontal="center"/>
    </xf>
    <xf numFmtId="2" fontId="0" fillId="4" borderId="8" xfId="0" applyNumberFormat="1" applyFill="1" applyBorder="1" applyAlignment="1" applyProtection="1">
      <alignment horizontal="center"/>
      <protection locked="0"/>
    </xf>
    <xf numFmtId="2" fontId="0" fillId="4" borderId="22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0" fontId="0" fillId="4" borderId="22" xfId="0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 wrapText="1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25" xfId="0" applyFill="1" applyBorder="1" applyAlignment="1" applyProtection="1">
      <alignment horizontal="center" wrapText="1"/>
      <protection locked="0"/>
    </xf>
    <xf numFmtId="0" fontId="0" fillId="4" borderId="26" xfId="0" applyFill="1" applyBorder="1" applyAlignment="1" applyProtection="1">
      <alignment horizontal="center"/>
      <protection locked="0"/>
    </xf>
    <xf numFmtId="1" fontId="0" fillId="4" borderId="26" xfId="0" applyNumberFormat="1" applyFill="1" applyBorder="1" applyAlignment="1" applyProtection="1">
      <alignment horizontal="center"/>
      <protection locked="0"/>
    </xf>
    <xf numFmtId="14" fontId="0" fillId="4" borderId="26" xfId="0" applyNumberFormat="1" applyFill="1" applyBorder="1" applyAlignment="1" applyProtection="1">
      <alignment horizontal="center"/>
      <protection locked="0"/>
    </xf>
    <xf numFmtId="0" fontId="0" fillId="4" borderId="27" xfId="0" applyFill="1" applyBorder="1" applyAlignment="1" applyProtection="1">
      <alignment horizontal="center"/>
      <protection locked="0"/>
    </xf>
    <xf numFmtId="1" fontId="0" fillId="4" borderId="27" xfId="0" applyNumberFormat="1" applyFill="1" applyBorder="1" applyAlignment="1" applyProtection="1">
      <alignment horizontal="center"/>
      <protection locked="0"/>
    </xf>
    <xf numFmtId="1" fontId="0" fillId="5" borderId="7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0" fillId="5" borderId="8" xfId="0" applyNumberFormat="1" applyFill="1" applyBorder="1" applyAlignment="1">
      <alignment horizontal="center"/>
    </xf>
    <xf numFmtId="1" fontId="0" fillId="5" borderId="16" xfId="0" applyNumberFormat="1" applyFill="1" applyBorder="1" applyAlignment="1">
      <alignment horizontal="center"/>
    </xf>
    <xf numFmtId="1" fontId="0" fillId="5" borderId="19" xfId="0" applyNumberFormat="1" applyFill="1" applyBorder="1" applyAlignment="1">
      <alignment horizontal="center"/>
    </xf>
    <xf numFmtId="1" fontId="0" fillId="5" borderId="20" xfId="0" applyNumberForma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5" borderId="17" xfId="0" applyNumberFormat="1" applyFill="1" applyBorder="1" applyAlignment="1">
      <alignment horizontal="center"/>
    </xf>
    <xf numFmtId="1" fontId="0" fillId="5" borderId="21" xfId="0" applyNumberFormat="1" applyFill="1" applyBorder="1" applyAlignment="1">
      <alignment horizontal="center"/>
    </xf>
    <xf numFmtId="1" fontId="0" fillId="5" borderId="5" xfId="0" applyNumberFormat="1" applyFill="1" applyBorder="1" applyAlignment="1">
      <alignment horizontal="center"/>
    </xf>
    <xf numFmtId="1" fontId="0" fillId="5" borderId="6" xfId="0" applyNumberFormat="1" applyFill="1" applyBorder="1" applyAlignment="1">
      <alignment horizontal="center"/>
    </xf>
    <xf numFmtId="1" fontId="0" fillId="5" borderId="7" xfId="0" applyNumberFormat="1" applyFill="1" applyBorder="1" applyAlignment="1" applyProtection="1">
      <alignment horizontal="center"/>
    </xf>
    <xf numFmtId="1" fontId="0" fillId="5" borderId="8" xfId="0" applyNumberFormat="1" applyFill="1" applyBorder="1" applyAlignment="1" applyProtection="1">
      <alignment horizontal="center"/>
    </xf>
    <xf numFmtId="164" fontId="0" fillId="5" borderId="16" xfId="0" applyNumberFormat="1" applyFill="1" applyBorder="1" applyAlignment="1">
      <alignment horizontal="center"/>
    </xf>
    <xf numFmtId="1" fontId="0" fillId="5" borderId="17" xfId="0" applyNumberFormat="1" applyFill="1" applyBorder="1" applyAlignment="1" applyProtection="1">
      <alignment horizontal="center"/>
    </xf>
    <xf numFmtId="164" fontId="0" fillId="5" borderId="28" xfId="0" applyNumberFormat="1" applyFill="1" applyBorder="1" applyAlignment="1">
      <alignment horizontal="center"/>
    </xf>
    <xf numFmtId="0" fontId="0" fillId="2" borderId="0" xfId="0" applyFill="1" applyBorder="1" applyAlignment="1" applyProtection="1">
      <alignment horizontal="center"/>
    </xf>
    <xf numFmtId="0" fontId="5" fillId="2" borderId="0" xfId="0" applyFont="1" applyFill="1"/>
    <xf numFmtId="0" fontId="6" fillId="2" borderId="0" xfId="0" applyFont="1" applyFill="1"/>
    <xf numFmtId="2" fontId="0" fillId="4" borderId="29" xfId="0" applyNumberFormat="1" applyFill="1" applyBorder="1" applyAlignment="1" applyProtection="1">
      <alignment horizontal="center"/>
    </xf>
    <xf numFmtId="2" fontId="0" fillId="4" borderId="30" xfId="0" applyNumberFormat="1" applyFill="1" applyBorder="1" applyAlignment="1" applyProtection="1">
      <alignment horizontal="center"/>
    </xf>
    <xf numFmtId="1" fontId="0" fillId="5" borderId="31" xfId="0" applyNumberFormat="1" applyFill="1" applyBorder="1" applyAlignment="1" applyProtection="1">
      <alignment horizontal="center"/>
    </xf>
    <xf numFmtId="0" fontId="0" fillId="4" borderId="32" xfId="0" applyFill="1" applyBorder="1" applyAlignment="1" applyProtection="1">
      <alignment horizontal="center"/>
    </xf>
    <xf numFmtId="1" fontId="0" fillId="4" borderId="32" xfId="0" applyNumberFormat="1" applyFill="1" applyBorder="1" applyAlignment="1" applyProtection="1">
      <alignment horizontal="center"/>
    </xf>
    <xf numFmtId="164" fontId="0" fillId="5" borderId="15" xfId="0" applyNumberFormat="1" applyFill="1" applyBorder="1" applyAlignment="1" applyProtection="1">
      <alignment horizontal="center"/>
    </xf>
    <xf numFmtId="0" fontId="0" fillId="4" borderId="26" xfId="0" quotePrefix="1" applyFill="1" applyBorder="1" applyAlignment="1" applyProtection="1">
      <alignment horizontal="center"/>
    </xf>
    <xf numFmtId="0" fontId="0" fillId="4" borderId="26" xfId="0" applyFill="1" applyBorder="1" applyAlignment="1" applyProtection="1">
      <alignment horizontal="center"/>
    </xf>
    <xf numFmtId="1" fontId="0" fillId="4" borderId="26" xfId="0" applyNumberFormat="1" applyFill="1" applyBorder="1" applyAlignment="1" applyProtection="1">
      <alignment horizontal="center"/>
    </xf>
    <xf numFmtId="164" fontId="0" fillId="5" borderId="16" xfId="0" applyNumberFormat="1" applyFill="1" applyBorder="1" applyAlignment="1" applyProtection="1">
      <alignment horizontal="center"/>
    </xf>
    <xf numFmtId="1" fontId="0" fillId="4" borderId="0" xfId="0" applyNumberFormat="1" applyFill="1" applyAlignment="1" applyProtection="1">
      <alignment horizontal="center"/>
    </xf>
    <xf numFmtId="0" fontId="2" fillId="3" borderId="33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8" fillId="2" borderId="0" xfId="0" applyFont="1" applyFill="1"/>
    <xf numFmtId="0" fontId="8" fillId="2" borderId="34" xfId="0" applyFont="1" applyFill="1" applyBorder="1"/>
    <xf numFmtId="0" fontId="8" fillId="2" borderId="35" xfId="0" applyFont="1" applyFill="1" applyBorder="1"/>
    <xf numFmtId="0" fontId="9" fillId="2" borderId="33" xfId="0" applyFont="1" applyFill="1" applyBorder="1"/>
    <xf numFmtId="0" fontId="0" fillId="2" borderId="7" xfId="0" applyFill="1" applyBorder="1" applyAlignment="1" applyProtection="1">
      <alignment horizontal="center"/>
    </xf>
    <xf numFmtId="0" fontId="0" fillId="2" borderId="36" xfId="0" applyFill="1" applyBorder="1" applyAlignment="1" applyProtection="1">
      <alignment horizontal="center"/>
    </xf>
    <xf numFmtId="0" fontId="0" fillId="2" borderId="13" xfId="0" applyFill="1" applyBorder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2" borderId="37" xfId="0" applyFill="1" applyBorder="1" applyAlignment="1" applyProtection="1">
      <alignment horizontal="center"/>
    </xf>
    <xf numFmtId="0" fontId="0" fillId="2" borderId="14" xfId="0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0" fontId="0" fillId="2" borderId="2" xfId="0" applyFill="1" applyBorder="1" applyAlignment="1" applyProtection="1">
      <alignment horizontal="center"/>
    </xf>
    <xf numFmtId="2" fontId="0" fillId="4" borderId="23" xfId="0" applyNumberFormat="1" applyFill="1" applyBorder="1" applyAlignment="1" applyProtection="1">
      <alignment horizontal="center"/>
      <protection locked="0"/>
    </xf>
    <xf numFmtId="2" fontId="0" fillId="4" borderId="38" xfId="0" applyNumberFormat="1" applyFill="1" applyBorder="1" applyAlignment="1" applyProtection="1">
      <alignment horizontal="center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39" xfId="0" applyNumberForma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</xf>
    <xf numFmtId="1" fontId="0" fillId="4" borderId="40" xfId="0" applyNumberFormat="1" applyFill="1" applyBorder="1" applyAlignment="1" applyProtection="1">
      <alignment horizontal="center"/>
      <protection locked="0"/>
    </xf>
    <xf numFmtId="165" fontId="0" fillId="4" borderId="32" xfId="0" applyNumberFormat="1" applyFill="1" applyBorder="1" applyAlignment="1" applyProtection="1">
      <alignment horizontal="center"/>
    </xf>
    <xf numFmtId="165" fontId="0" fillId="4" borderId="26" xfId="0" applyNumberFormat="1" applyFill="1" applyBorder="1" applyAlignment="1" applyProtection="1">
      <alignment horizontal="center"/>
    </xf>
    <xf numFmtId="165" fontId="0" fillId="4" borderId="26" xfId="0" applyNumberFormat="1" applyFill="1" applyBorder="1" applyAlignment="1" applyProtection="1">
      <alignment horizontal="center"/>
      <protection locked="0"/>
    </xf>
    <xf numFmtId="165" fontId="0" fillId="4" borderId="26" xfId="0" quotePrefix="1" applyNumberFormat="1" applyFill="1" applyBorder="1" applyAlignment="1" applyProtection="1">
      <alignment horizontal="center"/>
      <protection locked="0"/>
    </xf>
    <xf numFmtId="165" fontId="0" fillId="4" borderId="27" xfId="0" applyNumberForma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0" fillId="4" borderId="30" xfId="0" applyFill="1" applyBorder="1" applyAlignment="1" applyProtection="1">
      <alignment horizontal="center"/>
      <protection locked="0"/>
    </xf>
    <xf numFmtId="0" fontId="0" fillId="4" borderId="41" xfId="0" applyFill="1" applyBorder="1" applyAlignment="1" applyProtection="1">
      <alignment horizontal="center" wrapText="1"/>
      <protection locked="0"/>
    </xf>
    <xf numFmtId="17" fontId="0" fillId="4" borderId="8" xfId="0" applyNumberFormat="1" applyFill="1" applyBorder="1" applyAlignment="1" applyProtection="1">
      <alignment horizontal="center"/>
      <protection locked="0"/>
    </xf>
    <xf numFmtId="0" fontId="2" fillId="3" borderId="35" xfId="0" applyFont="1" applyFill="1" applyBorder="1" applyAlignment="1">
      <alignment horizontal="center" vertical="center" wrapText="1"/>
    </xf>
    <xf numFmtId="0" fontId="0" fillId="2" borderId="0" xfId="0" quotePrefix="1" applyFill="1" applyAlignment="1" applyProtection="1">
      <alignment horizontal="left"/>
      <protection locked="0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1" fontId="0" fillId="5" borderId="44" xfId="0" applyNumberFormat="1" applyFill="1" applyBorder="1" applyAlignment="1" applyProtection="1">
      <alignment horizontal="center"/>
    </xf>
    <xf numFmtId="1" fontId="0" fillId="5" borderId="45" xfId="0" applyNumberFormat="1" applyFill="1" applyBorder="1" applyAlignment="1" applyProtection="1">
      <alignment horizontal="center"/>
    </xf>
    <xf numFmtId="1" fontId="0" fillId="5" borderId="46" xfId="0" applyNumberFormat="1" applyFill="1" applyBorder="1" applyAlignment="1" applyProtection="1">
      <alignment horizontal="center"/>
    </xf>
    <xf numFmtId="1" fontId="0" fillId="5" borderId="8" xfId="0" quotePrefix="1" applyNumberFormat="1" applyFill="1" applyBorder="1" applyAlignment="1" applyProtection="1">
      <alignment horizontal="center"/>
    </xf>
    <xf numFmtId="1" fontId="0" fillId="5" borderId="39" xfId="0" applyNumberFormat="1" applyFill="1" applyBorder="1" applyAlignment="1" applyProtection="1">
      <alignment horizontal="center"/>
    </xf>
    <xf numFmtId="164" fontId="0" fillId="5" borderId="28" xfId="0" applyNumberFormat="1" applyFill="1" applyBorder="1" applyAlignment="1" applyProtection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center"/>
    </xf>
    <xf numFmtId="14" fontId="0" fillId="4" borderId="27" xfId="0" applyNumberForma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>
      <alignment horizontal="center" vertical="center" wrapText="1"/>
    </xf>
    <xf numFmtId="165" fontId="0" fillId="4" borderId="47" xfId="0" applyNumberFormat="1" applyFill="1" applyBorder="1" applyAlignment="1" applyProtection="1">
      <alignment horizontal="center"/>
    </xf>
    <xf numFmtId="0" fontId="0" fillId="5" borderId="32" xfId="0" applyFill="1" applyBorder="1" applyAlignment="1" applyProtection="1">
      <alignment horizontal="center"/>
    </xf>
    <xf numFmtId="0" fontId="0" fillId="5" borderId="26" xfId="0" quotePrefix="1" applyFill="1" applyBorder="1" applyAlignment="1" applyProtection="1">
      <alignment horizontal="center"/>
    </xf>
    <xf numFmtId="0" fontId="0" fillId="5" borderId="26" xfId="0" applyFill="1" applyBorder="1" applyAlignment="1" applyProtection="1">
      <alignment horizontal="center"/>
    </xf>
    <xf numFmtId="0" fontId="0" fillId="5" borderId="26" xfId="0" applyFill="1" applyBorder="1" applyAlignment="1" applyProtection="1">
      <alignment horizontal="center"/>
      <protection locked="0"/>
    </xf>
    <xf numFmtId="14" fontId="0" fillId="5" borderId="26" xfId="0" applyNumberFormat="1" applyFill="1" applyBorder="1" applyAlignment="1" applyProtection="1">
      <alignment horizontal="center"/>
      <protection locked="0"/>
    </xf>
    <xf numFmtId="0" fontId="0" fillId="5" borderId="0" xfId="0" applyFill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165" fontId="0" fillId="4" borderId="5" xfId="0" applyNumberFormat="1" applyFill="1" applyBorder="1" applyAlignment="1" applyProtection="1">
      <alignment horizontal="center"/>
    </xf>
    <xf numFmtId="14" fontId="0" fillId="2" borderId="0" xfId="0" applyNumberFormat="1" applyFill="1" applyAlignment="1">
      <alignment horizontal="center"/>
    </xf>
    <xf numFmtId="40" fontId="0" fillId="2" borderId="0" xfId="0" applyNumberFormat="1" applyFill="1" applyAlignment="1">
      <alignment horizontal="center"/>
    </xf>
    <xf numFmtId="40" fontId="11" fillId="2" borderId="27" xfId="0" applyNumberFormat="1" applyFont="1" applyFill="1" applyBorder="1" applyAlignment="1">
      <alignment horizontal="center"/>
    </xf>
    <xf numFmtId="40" fontId="11" fillId="2" borderId="3" xfId="0" applyNumberFormat="1" applyFont="1" applyFill="1" applyBorder="1" applyAlignment="1">
      <alignment horizontal="center"/>
    </xf>
    <xf numFmtId="40" fontId="11" fillId="2" borderId="2" xfId="0" applyNumberFormat="1" applyFont="1" applyFill="1" applyBorder="1" applyAlignment="1">
      <alignment horizontal="center"/>
    </xf>
    <xf numFmtId="40" fontId="0" fillId="2" borderId="48" xfId="0" applyNumberFormat="1" applyFill="1" applyBorder="1" applyAlignment="1">
      <alignment horizontal="center" vertical="distributed"/>
    </xf>
    <xf numFmtId="40" fontId="0" fillId="2" borderId="49" xfId="0" applyNumberFormat="1" applyFill="1" applyBorder="1" applyAlignment="1">
      <alignment horizontal="center" vertical="distributed"/>
    </xf>
    <xf numFmtId="40" fontId="0" fillId="2" borderId="40" xfId="0" applyNumberFormat="1" applyFill="1" applyBorder="1" applyAlignment="1">
      <alignment horizontal="center" vertical="distributed"/>
    </xf>
    <xf numFmtId="0" fontId="0" fillId="5" borderId="26" xfId="0" applyNumberFormat="1" applyFill="1" applyBorder="1" applyAlignment="1" applyProtection="1">
      <alignment horizontal="center"/>
      <protection locked="0"/>
    </xf>
    <xf numFmtId="0" fontId="0" fillId="5" borderId="0" xfId="0" applyNumberForma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 applyProtection="1">
      <alignment horizontal="center"/>
      <protection locked="0"/>
    </xf>
    <xf numFmtId="165" fontId="11" fillId="4" borderId="26" xfId="0" applyNumberFormat="1" applyFont="1" applyFill="1" applyBorder="1" applyAlignment="1" applyProtection="1">
      <alignment horizontal="center"/>
      <protection locked="0"/>
    </xf>
    <xf numFmtId="165" fontId="11" fillId="4" borderId="26" xfId="0" applyNumberFormat="1" applyFont="1" applyFill="1" applyBorder="1" applyAlignment="1" applyProtection="1">
      <alignment horizontal="center"/>
    </xf>
    <xf numFmtId="0" fontId="11" fillId="2" borderId="0" xfId="0" applyFont="1" applyFill="1" applyAlignment="1">
      <alignment horizontal="center"/>
    </xf>
    <xf numFmtId="40" fontId="0" fillId="2" borderId="0" xfId="0" applyNumberFormat="1" applyFill="1" applyBorder="1" applyAlignment="1">
      <alignment horizontal="center" vertical="distributed"/>
    </xf>
    <xf numFmtId="40" fontId="11" fillId="2" borderId="0" xfId="0" applyNumberFormat="1" applyFont="1" applyFill="1" applyBorder="1" applyAlignment="1">
      <alignment horizontal="center"/>
    </xf>
    <xf numFmtId="165" fontId="0" fillId="4" borderId="4" xfId="0" applyNumberFormat="1" applyFill="1" applyBorder="1" applyAlignment="1" applyProtection="1">
      <alignment horizontal="center"/>
    </xf>
    <xf numFmtId="0" fontId="0" fillId="0" borderId="0" xfId="0" applyNumberFormat="1" applyFill="1" applyBorder="1" applyAlignment="1" applyProtection="1">
      <alignment horizontal="center"/>
      <protection locked="0"/>
    </xf>
    <xf numFmtId="165" fontId="1" fillId="4" borderId="5" xfId="0" applyNumberFormat="1" applyFont="1" applyFill="1" applyBorder="1" applyAlignment="1" applyProtection="1">
      <alignment horizontal="center"/>
    </xf>
    <xf numFmtId="0" fontId="0" fillId="5" borderId="0" xfId="0" applyFill="1" applyAlignment="1" applyProtection="1">
      <protection locked="0"/>
    </xf>
    <xf numFmtId="0" fontId="0" fillId="5" borderId="0" xfId="0" quotePrefix="1" applyFill="1" applyAlignment="1" applyProtection="1">
      <protection locked="0"/>
    </xf>
    <xf numFmtId="0" fontId="0" fillId="5" borderId="0" xfId="0" applyNumberFormat="1" applyFill="1" applyBorder="1" applyAlignment="1" applyProtection="1">
      <protection locked="0"/>
    </xf>
    <xf numFmtId="0" fontId="0" fillId="2" borderId="0" xfId="0" applyFill="1" applyAlignment="1"/>
    <xf numFmtId="165" fontId="11" fillId="4" borderId="5" xfId="0" applyNumberFormat="1" applyFont="1" applyFill="1" applyBorder="1" applyAlignment="1" applyProtection="1">
      <alignment horizontal="center"/>
    </xf>
    <xf numFmtId="0" fontId="2" fillId="3" borderId="48" xfId="0" applyFont="1" applyFill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49" xfId="0" applyFont="1" applyFill="1" applyBorder="1" applyAlignment="1">
      <alignment horizontal="center"/>
    </xf>
    <xf numFmtId="0" fontId="2" fillId="3" borderId="48" xfId="0" applyFont="1" applyFill="1" applyBorder="1" applyAlignment="1"/>
    <xf numFmtId="0" fontId="2" fillId="0" borderId="40" xfId="0" applyFont="1" applyBorder="1" applyAlignment="1"/>
    <xf numFmtId="0" fontId="2" fillId="3" borderId="48" xfId="0" applyFont="1" applyFill="1" applyBorder="1" applyAlignment="1" applyProtection="1">
      <alignment horizontal="center"/>
    </xf>
    <xf numFmtId="0" fontId="2" fillId="3" borderId="49" xfId="0" applyFont="1" applyFill="1" applyBorder="1" applyAlignment="1" applyProtection="1">
      <alignment horizontal="center"/>
    </xf>
    <xf numFmtId="0" fontId="2" fillId="3" borderId="40" xfId="0" applyFont="1" applyFill="1" applyBorder="1" applyAlignment="1" applyProtection="1">
      <alignment horizontal="center"/>
    </xf>
    <xf numFmtId="0" fontId="0" fillId="3" borderId="27" xfId="0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3" borderId="51" xfId="0" applyFill="1" applyBorder="1" applyAlignment="1" applyProtection="1">
      <alignment horizontal="center"/>
    </xf>
    <xf numFmtId="0" fontId="0" fillId="2" borderId="50" xfId="0" applyFill="1" applyBorder="1" applyAlignment="1">
      <alignment horizontal="center" wrapText="1"/>
    </xf>
    <xf numFmtId="0" fontId="0" fillId="0" borderId="50" xfId="0" applyBorder="1" applyAlignment="1">
      <alignment horizontal="center"/>
    </xf>
    <xf numFmtId="0" fontId="2" fillId="3" borderId="31" xfId="0" applyFont="1" applyFill="1" applyBorder="1" applyAlignment="1" applyProtection="1">
      <alignment horizontal="center" wrapText="1"/>
    </xf>
    <xf numFmtId="0" fontId="0" fillId="3" borderId="10" xfId="0" applyFill="1" applyBorder="1" applyAlignment="1" applyProtection="1">
      <alignment horizontal="center" wrapText="1"/>
    </xf>
    <xf numFmtId="0" fontId="2" fillId="3" borderId="51" xfId="0" applyFont="1" applyFill="1" applyBorder="1" applyAlignment="1" applyProtection="1">
      <alignment horizontal="center" wrapText="1"/>
    </xf>
    <xf numFmtId="0" fontId="0" fillId="3" borderId="9" xfId="0" applyFill="1" applyBorder="1" applyAlignment="1" applyProtection="1">
      <alignment horizontal="center" wrapText="1"/>
    </xf>
    <xf numFmtId="0" fontId="2" fillId="3" borderId="49" xfId="0" applyFont="1" applyFill="1" applyBorder="1" applyAlignment="1" applyProtection="1">
      <alignment horizontal="center" wrapText="1"/>
    </xf>
    <xf numFmtId="0" fontId="0" fillId="3" borderId="3" xfId="0" applyFill="1" applyBorder="1" applyAlignment="1" applyProtection="1">
      <alignment horizontal="center" wrapText="1"/>
    </xf>
    <xf numFmtId="0" fontId="0" fillId="2" borderId="0" xfId="0" applyFill="1" applyAlignment="1">
      <alignment horizontal="left" wrapText="1"/>
    </xf>
    <xf numFmtId="0" fontId="0" fillId="0" borderId="0" xfId="0" applyAlignment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3" borderId="52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C5" sqref="C5"/>
    </sheetView>
  </sheetViews>
  <sheetFormatPr baseColWidth="10" defaultRowHeight="12.75" x14ac:dyDescent="0.2"/>
  <cols>
    <col min="1" max="1" width="3" style="91" customWidth="1"/>
    <col min="2" max="16384" width="11.42578125" style="92"/>
  </cols>
  <sheetData>
    <row r="1" spans="1:12" ht="13.5" thickBot="1" x14ac:dyDescent="0.25"/>
    <row r="2" spans="1:12" ht="18.75" thickBot="1" x14ac:dyDescent="0.3">
      <c r="C2" s="95" t="s">
        <v>51</v>
      </c>
      <c r="D2" s="93"/>
      <c r="E2" s="93"/>
      <c r="F2" s="93"/>
      <c r="G2" s="93"/>
      <c r="H2" s="93"/>
      <c r="I2" s="93"/>
      <c r="J2" s="93"/>
      <c r="K2" s="93"/>
      <c r="L2" s="94"/>
    </row>
    <row r="3" spans="1:12" x14ac:dyDescent="0.2">
      <c r="L3" s="75" t="s">
        <v>44</v>
      </c>
    </row>
    <row r="5" spans="1:12" ht="15.75" x14ac:dyDescent="0.25">
      <c r="B5" s="90" t="s">
        <v>36</v>
      </c>
    </row>
    <row r="6" spans="1:12" x14ac:dyDescent="0.2">
      <c r="A6" s="91" t="s">
        <v>45</v>
      </c>
      <c r="B6" s="92" t="s">
        <v>39</v>
      </c>
    </row>
    <row r="7" spans="1:12" x14ac:dyDescent="0.2">
      <c r="A7" s="91" t="s">
        <v>46</v>
      </c>
      <c r="B7" s="92" t="s">
        <v>37</v>
      </c>
    </row>
    <row r="9" spans="1:12" ht="15.75" x14ac:dyDescent="0.25">
      <c r="B9" s="90" t="s">
        <v>38</v>
      </c>
    </row>
    <row r="10" spans="1:12" x14ac:dyDescent="0.2">
      <c r="A10" s="91" t="s">
        <v>45</v>
      </c>
      <c r="B10" s="92" t="s">
        <v>47</v>
      </c>
    </row>
    <row r="11" spans="1:12" x14ac:dyDescent="0.2">
      <c r="B11" s="92" t="s">
        <v>48</v>
      </c>
    </row>
    <row r="12" spans="1:12" x14ac:dyDescent="0.2">
      <c r="B12" s="74" t="s">
        <v>56</v>
      </c>
      <c r="D12" s="92" t="s">
        <v>41</v>
      </c>
    </row>
    <row r="13" spans="1:12" x14ac:dyDescent="0.2">
      <c r="A13" s="91" t="s">
        <v>46</v>
      </c>
      <c r="B13" s="92" t="s">
        <v>37</v>
      </c>
    </row>
  </sheetData>
  <sheetProtection sheet="1" objects="1" scenarios="1"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8"/>
  <sheetViews>
    <sheetView workbookViewId="0">
      <selection activeCell="C11" sqref="C11"/>
    </sheetView>
  </sheetViews>
  <sheetFormatPr baseColWidth="10" defaultRowHeight="12.75" x14ac:dyDescent="0.2"/>
  <cols>
    <col min="1" max="1" width="33.42578125" style="16" customWidth="1"/>
    <col min="2" max="5" width="11.42578125" style="16"/>
    <col min="6" max="6" width="2.7109375" style="16" customWidth="1"/>
    <col min="7" max="8" width="11.7109375" style="16" customWidth="1"/>
    <col min="9" max="9" width="2.7109375" style="16" customWidth="1"/>
    <col min="10" max="16384" width="11.42578125" style="16"/>
  </cols>
  <sheetData>
    <row r="1" spans="1:11" ht="16.5" thickBot="1" x14ac:dyDescent="0.3">
      <c r="A1" s="20" t="s">
        <v>20</v>
      </c>
    </row>
    <row r="2" spans="1:11" x14ac:dyDescent="0.2">
      <c r="A2" s="1"/>
      <c r="B2" s="171" t="s">
        <v>18</v>
      </c>
      <c r="C2" s="175"/>
      <c r="D2" s="176" t="s">
        <v>19</v>
      </c>
      <c r="E2" s="175"/>
      <c r="F2" s="30"/>
      <c r="G2" s="35"/>
      <c r="H2" s="36" t="s">
        <v>35</v>
      </c>
    </row>
    <row r="3" spans="1:11" ht="13.5" thickBot="1" x14ac:dyDescent="0.25">
      <c r="A3" s="1"/>
      <c r="B3" s="3" t="s">
        <v>16</v>
      </c>
      <c r="C3" s="5" t="s">
        <v>17</v>
      </c>
      <c r="D3" s="3" t="s">
        <v>16</v>
      </c>
      <c r="E3" s="4" t="s">
        <v>17</v>
      </c>
      <c r="F3" s="30"/>
      <c r="G3" s="1"/>
    </row>
    <row r="4" spans="1:11" ht="12.75" customHeight="1" x14ac:dyDescent="0.2">
      <c r="A4" s="21" t="s">
        <v>49</v>
      </c>
      <c r="B4" s="96">
        <v>1.5</v>
      </c>
      <c r="C4" s="97">
        <v>1.5</v>
      </c>
      <c r="D4" s="96">
        <v>0.5</v>
      </c>
      <c r="E4" s="98">
        <v>0.5</v>
      </c>
      <c r="F4" s="2"/>
      <c r="G4" s="1"/>
    </row>
    <row r="5" spans="1:11" ht="38.25" x14ac:dyDescent="0.2">
      <c r="A5" s="22" t="s">
        <v>21</v>
      </c>
      <c r="B5" s="99">
        <v>2</v>
      </c>
      <c r="C5" s="100">
        <v>2</v>
      </c>
      <c r="D5" s="99">
        <v>2</v>
      </c>
      <c r="E5" s="101">
        <v>2</v>
      </c>
      <c r="F5" s="2"/>
      <c r="G5" s="1"/>
    </row>
    <row r="6" spans="1:11" x14ac:dyDescent="0.2">
      <c r="A6" s="22" t="s">
        <v>22</v>
      </c>
      <c r="B6" s="99">
        <v>150</v>
      </c>
      <c r="C6" s="100">
        <v>300</v>
      </c>
      <c r="D6" s="99">
        <v>150</v>
      </c>
      <c r="E6" s="101">
        <v>300</v>
      </c>
      <c r="F6" s="29" t="s">
        <v>28</v>
      </c>
    </row>
    <row r="7" spans="1:11" ht="26.25" thickBot="1" x14ac:dyDescent="0.25">
      <c r="A7" s="23" t="s">
        <v>23</v>
      </c>
      <c r="B7" s="102">
        <v>42</v>
      </c>
      <c r="C7" s="103">
        <v>84</v>
      </c>
      <c r="D7" s="102">
        <v>42</v>
      </c>
      <c r="E7" s="104">
        <v>84</v>
      </c>
      <c r="F7" s="2"/>
      <c r="G7" s="1"/>
    </row>
    <row r="8" spans="1:11" ht="4.5" customHeight="1" x14ac:dyDescent="0.2">
      <c r="A8" s="1"/>
      <c r="B8" s="1"/>
      <c r="C8" s="1"/>
      <c r="D8" s="1"/>
      <c r="E8" s="1"/>
      <c r="F8" s="1"/>
      <c r="G8" s="1"/>
    </row>
    <row r="9" spans="1:11" x14ac:dyDescent="0.2">
      <c r="A9" s="19" t="s">
        <v>25</v>
      </c>
      <c r="B9" s="86">
        <f xml:space="preserve"> 446000/(3.79*215)</f>
        <v>547.34000122721977</v>
      </c>
      <c r="C9" s="29" t="s">
        <v>26</v>
      </c>
      <c r="D9" s="1"/>
      <c r="E9" s="1"/>
      <c r="F9" s="1"/>
      <c r="G9" s="1"/>
    </row>
    <row r="10" spans="1:11" x14ac:dyDescent="0.2">
      <c r="A10" s="19" t="s">
        <v>42</v>
      </c>
      <c r="B10" s="39"/>
      <c r="C10" s="29"/>
      <c r="D10" s="1"/>
      <c r="E10" s="1"/>
      <c r="F10" s="1"/>
      <c r="G10" s="1"/>
    </row>
    <row r="11" spans="1:11" x14ac:dyDescent="0.2">
      <c r="A11" s="19" t="s">
        <v>43</v>
      </c>
      <c r="B11" s="86"/>
      <c r="C11" s="29"/>
      <c r="D11" s="1"/>
      <c r="E11" s="1"/>
      <c r="F11" s="1"/>
      <c r="G11" s="1"/>
    </row>
    <row r="12" spans="1:11" ht="9" customHeight="1" x14ac:dyDescent="0.2"/>
    <row r="13" spans="1:11" ht="14.25" customHeight="1" thickBot="1" x14ac:dyDescent="0.3">
      <c r="A13" s="20" t="s">
        <v>33</v>
      </c>
    </row>
    <row r="14" spans="1:11" ht="13.5" thickBot="1" x14ac:dyDescent="0.25">
      <c r="G14" s="177" t="s">
        <v>27</v>
      </c>
      <c r="H14" s="178"/>
      <c r="J14" s="171" t="s">
        <v>30</v>
      </c>
      <c r="K14" s="172"/>
    </row>
    <row r="15" spans="1:11" ht="13.5" thickBot="1" x14ac:dyDescent="0.25">
      <c r="B15" s="171" t="s">
        <v>18</v>
      </c>
      <c r="C15" s="175"/>
      <c r="D15" s="171" t="s">
        <v>19</v>
      </c>
      <c r="E15" s="175"/>
      <c r="F15" s="30"/>
      <c r="G15" s="173" t="s">
        <v>29</v>
      </c>
      <c r="H15" s="174"/>
      <c r="J15" s="173" t="s">
        <v>29</v>
      </c>
      <c r="K15" s="174"/>
    </row>
    <row r="16" spans="1:11" ht="13.5" thickBot="1" x14ac:dyDescent="0.25">
      <c r="A16" s="24" t="s">
        <v>24</v>
      </c>
      <c r="B16" s="3" t="s">
        <v>16</v>
      </c>
      <c r="C16" s="4" t="s">
        <v>17</v>
      </c>
      <c r="D16" s="3" t="s">
        <v>16</v>
      </c>
      <c r="E16" s="4" t="s">
        <v>17</v>
      </c>
      <c r="F16" s="30"/>
      <c r="G16" s="3" t="s">
        <v>16</v>
      </c>
      <c r="H16" s="4" t="s">
        <v>17</v>
      </c>
      <c r="J16" s="3" t="s">
        <v>16</v>
      </c>
      <c r="K16" s="4" t="s">
        <v>17</v>
      </c>
    </row>
    <row r="17" spans="1:11" x14ac:dyDescent="0.2">
      <c r="A17" s="6">
        <v>2</v>
      </c>
      <c r="B17" s="9">
        <f>(1+B4+B5*A17/8)*B9+B6+B7*(A17+1)</f>
        <v>1918.0200036816593</v>
      </c>
      <c r="C17" s="27">
        <f>(2+C4+C5*A17/8)*B9+C6+C7*(A17+1)</f>
        <v>2741.3600049088791</v>
      </c>
      <c r="D17" s="9">
        <f>(1+D4+D5*A17/8)*B9+D6+D7*(A17+1)</f>
        <v>1370.6800024544395</v>
      </c>
      <c r="E17" s="27">
        <f>(2+E4+E5*A17/8)*B9+E6+E7*(A17+1)</f>
        <v>2194.0200036816595</v>
      </c>
      <c r="F17" s="25"/>
      <c r="G17" s="9">
        <f t="shared" ref="G17:G24" si="0">B17/A17</f>
        <v>959.01000184082966</v>
      </c>
      <c r="H17" s="31">
        <f t="shared" ref="H17:H24" si="1">C17/A17</f>
        <v>1370.6800024544395</v>
      </c>
      <c r="J17" s="57">
        <f t="shared" ref="J17:K24" si="2">G17*1.3</f>
        <v>1246.7130023930786</v>
      </c>
      <c r="K17" s="58">
        <f t="shared" si="2"/>
        <v>1781.8840031907714</v>
      </c>
    </row>
    <row r="18" spans="1:11" x14ac:dyDescent="0.2">
      <c r="A18" s="7">
        <v>3</v>
      </c>
      <c r="B18" s="10">
        <f>(1+B4+B5*A18/8)*B9+B6+B7*(A18+1)</f>
        <v>2096.855003988464</v>
      </c>
      <c r="C18" s="28">
        <f>(2+C4+C5*A18/8)*B9+C6+C7*(A18+1)</f>
        <v>2962.195005215684</v>
      </c>
      <c r="D18" s="10">
        <f>(1+D4+D5*A18/8)*B9+D6+D7*(A18+1)</f>
        <v>1549.5150027612444</v>
      </c>
      <c r="E18" s="28">
        <f>(2+E4+E5*A18/8)*B9+E6+E7*(A18+1)</f>
        <v>2414.855003988464</v>
      </c>
      <c r="F18" s="25"/>
      <c r="G18" s="10">
        <f t="shared" si="0"/>
        <v>698.9516679961547</v>
      </c>
      <c r="H18" s="32">
        <f t="shared" si="1"/>
        <v>987.39833507189462</v>
      </c>
      <c r="J18" s="59">
        <f t="shared" si="2"/>
        <v>908.63716839500114</v>
      </c>
      <c r="K18" s="60">
        <f t="shared" si="2"/>
        <v>1283.617835593463</v>
      </c>
    </row>
    <row r="19" spans="1:11" x14ac:dyDescent="0.2">
      <c r="A19" s="7">
        <v>4</v>
      </c>
      <c r="B19" s="10">
        <f>(1+B4+B5*A19/8)*B9+B6+B7*(A19+1)</f>
        <v>2275.6900042952693</v>
      </c>
      <c r="C19" s="28">
        <f>(2+C4+C5*A19/8)*B9+C6+C7*(A19+1)</f>
        <v>3183.0300055224889</v>
      </c>
      <c r="D19" s="10">
        <f>(1+D4+D5*A19/8)*B9+D6+D7*(A19+1)</f>
        <v>1728.3500030680493</v>
      </c>
      <c r="E19" s="28">
        <f>(2+E4+E5*A19/8)*B9+E6+E7*(A19+1)</f>
        <v>2635.6900042952693</v>
      </c>
      <c r="F19" s="25"/>
      <c r="G19" s="10">
        <f t="shared" si="0"/>
        <v>568.92250107381733</v>
      </c>
      <c r="H19" s="32">
        <f t="shared" si="1"/>
        <v>795.75750138062222</v>
      </c>
      <c r="J19" s="59">
        <f t="shared" si="2"/>
        <v>739.5992513959626</v>
      </c>
      <c r="K19" s="60">
        <f t="shared" si="2"/>
        <v>1034.484751794809</v>
      </c>
    </row>
    <row r="20" spans="1:11" x14ac:dyDescent="0.2">
      <c r="A20" s="7">
        <v>5</v>
      </c>
      <c r="B20" s="10">
        <f>(1+B4+B5*A20/8)*B9+B6+B7*(A20+1)</f>
        <v>2454.5250046020742</v>
      </c>
      <c r="C20" s="28">
        <f>(2+C4+C5*A20/8)*B9+C6+C7*(A20+1)</f>
        <v>3403.8650058292938</v>
      </c>
      <c r="D20" s="10">
        <f>(1+D4+D5*A20/8)*B9+D6+D7*(A20+1)</f>
        <v>1907.1850033748544</v>
      </c>
      <c r="E20" s="28">
        <f>(2+E4+E5*A20/8)*B9+E6+E7*(A20+1)</f>
        <v>2856.5250046020742</v>
      </c>
      <c r="F20" s="25"/>
      <c r="G20" s="10">
        <f t="shared" si="0"/>
        <v>490.90500092041486</v>
      </c>
      <c r="H20" s="32">
        <f t="shared" si="1"/>
        <v>680.77300116585877</v>
      </c>
      <c r="J20" s="59">
        <f t="shared" si="2"/>
        <v>638.17650119653933</v>
      </c>
      <c r="K20" s="60">
        <f t="shared" si="2"/>
        <v>885.00490151561644</v>
      </c>
    </row>
    <row r="21" spans="1:11" x14ac:dyDescent="0.2">
      <c r="A21" s="7">
        <v>6</v>
      </c>
      <c r="B21" s="40">
        <f>(1+B4+B5*A21/8)*B9+B6+B7*(A21+1)</f>
        <v>2633.3600049088791</v>
      </c>
      <c r="C21" s="26">
        <f>(2+C4+C5*A21/8)*B9+C6+C7*(A21+1)</f>
        <v>3624.7000061360986</v>
      </c>
      <c r="D21" s="40">
        <f>(1+D4+D5*A21/8)*B9+D6+D7*(A21+1)</f>
        <v>2086.0200036816595</v>
      </c>
      <c r="E21" s="26">
        <f>(2+E4+E5*A21/8)*B9+E6+E7*(A21+1)</f>
        <v>3077.3600049088791</v>
      </c>
      <c r="F21" s="25"/>
      <c r="G21" s="41">
        <f t="shared" si="0"/>
        <v>438.89333415147985</v>
      </c>
      <c r="H21" s="42">
        <f t="shared" si="1"/>
        <v>604.11666768934981</v>
      </c>
      <c r="J21" s="61">
        <f t="shared" si="2"/>
        <v>570.56133439692383</v>
      </c>
      <c r="K21" s="62">
        <f t="shared" si="2"/>
        <v>785.35166799615479</v>
      </c>
    </row>
    <row r="22" spans="1:11" x14ac:dyDescent="0.2">
      <c r="A22" s="7">
        <v>7</v>
      </c>
      <c r="B22" s="10">
        <f>(1+B4+B5*A22/8)*B9+B6+B7*(A22+1)</f>
        <v>2812.195005215684</v>
      </c>
      <c r="C22" s="28">
        <f>(2+C4+C5*A22/8)*B9+C6+C7*(A22+1)</f>
        <v>3845.535006442904</v>
      </c>
      <c r="D22" s="10">
        <f>(1+D4+D5*A22/8)*B9+D6+D7*(A22+1)</f>
        <v>2264.855003988464</v>
      </c>
      <c r="E22" s="28">
        <f>(2+E4+E5*A22/8)*B9+E6+E7*(A22+1)</f>
        <v>3298.195005215684</v>
      </c>
      <c r="F22" s="25"/>
      <c r="G22" s="10">
        <f t="shared" si="0"/>
        <v>401.74214360224056</v>
      </c>
      <c r="H22" s="28">
        <f t="shared" si="1"/>
        <v>549.36214377755766</v>
      </c>
      <c r="J22" s="59">
        <f t="shared" si="2"/>
        <v>522.2647866829127</v>
      </c>
      <c r="K22" s="63">
        <f t="shared" si="2"/>
        <v>714.17078691082497</v>
      </c>
    </row>
    <row r="23" spans="1:11" x14ac:dyDescent="0.2">
      <c r="A23" s="7">
        <v>8</v>
      </c>
      <c r="B23" s="10">
        <f>(1+B4+B5*A23/8)*B9+B6+B7*(A23+1)</f>
        <v>2991.0300055224889</v>
      </c>
      <c r="C23" s="28">
        <f>(2+C4+C5*A23/8)*B9+C6+C7*(A23+1)</f>
        <v>4066.3700067497089</v>
      </c>
      <c r="D23" s="10">
        <f>(1+D4+D5*A23/8)*B9+D6+D7*(A23+1)</f>
        <v>2443.6900042952693</v>
      </c>
      <c r="E23" s="28">
        <f>(2+E4+E5*A23/8)*B9+E6+E7*(A23+1)</f>
        <v>3519.0300055224889</v>
      </c>
      <c r="F23" s="25"/>
      <c r="G23" s="10">
        <f t="shared" si="0"/>
        <v>373.87875069031111</v>
      </c>
      <c r="H23" s="28">
        <f t="shared" si="1"/>
        <v>508.29625084371361</v>
      </c>
      <c r="J23" s="59">
        <f t="shared" si="2"/>
        <v>486.04237589740444</v>
      </c>
      <c r="K23" s="63">
        <f t="shared" si="2"/>
        <v>660.78512609682775</v>
      </c>
    </row>
    <row r="24" spans="1:11" ht="13.5" thickBot="1" x14ac:dyDescent="0.25">
      <c r="A24" s="8">
        <v>9</v>
      </c>
      <c r="B24" s="33">
        <f>(1+B4+B5*A24/8)*B9+B6+B7*(A24+1)</f>
        <v>3169.8650058292938</v>
      </c>
      <c r="C24" s="43">
        <f>(2+C4+C5*A24/8)*B9+C6+C73*(A24+1)</f>
        <v>3447.2050070565138</v>
      </c>
      <c r="D24" s="33">
        <f>(1+D4+D5*A24/8)*B9+D6+D7*(A24+1)</f>
        <v>2622.5250046020742</v>
      </c>
      <c r="E24" s="43">
        <f>(2+E4+E5*A24/8)*B9+E6+E7*(A24+1)</f>
        <v>3739.8650058292938</v>
      </c>
      <c r="F24" s="25"/>
      <c r="G24" s="33">
        <f t="shared" si="0"/>
        <v>352.20722286992151</v>
      </c>
      <c r="H24" s="43">
        <f t="shared" si="1"/>
        <v>383.02277856183485</v>
      </c>
      <c r="J24" s="64">
        <f t="shared" si="2"/>
        <v>457.86938973089798</v>
      </c>
      <c r="K24" s="65">
        <f t="shared" si="2"/>
        <v>497.92961213038535</v>
      </c>
    </row>
    <row r="25" spans="1:11" x14ac:dyDescent="0.2">
      <c r="A25" s="18"/>
      <c r="F25" s="19" t="s">
        <v>32</v>
      </c>
      <c r="G25" s="17">
        <f>AVERAGE(G17:G24)</f>
        <v>535.56382789314625</v>
      </c>
      <c r="H25" s="17">
        <f>AVERAGE(H17:H24)</f>
        <v>734.92583511815883</v>
      </c>
      <c r="I25" s="1"/>
      <c r="J25" s="17">
        <f>AVERAGE(J17:J24)</f>
        <v>696.23297626109013</v>
      </c>
      <c r="K25" s="17">
        <f>AVERAGE(K17:K24)</f>
        <v>955.40358565360657</v>
      </c>
    </row>
    <row r="26" spans="1:11" x14ac:dyDescent="0.2">
      <c r="J26" s="34" t="s">
        <v>31</v>
      </c>
    </row>
    <row r="27" spans="1:11" ht="3.75" customHeight="1" x14ac:dyDescent="0.2"/>
    <row r="28" spans="1:11" x14ac:dyDescent="0.2">
      <c r="G28" s="16" t="s">
        <v>40</v>
      </c>
    </row>
  </sheetData>
  <sheetProtection sheet="1" objects="1" scenarios="1"/>
  <mergeCells count="8">
    <mergeCell ref="J14:K14"/>
    <mergeCell ref="J15:K15"/>
    <mergeCell ref="B2:C2"/>
    <mergeCell ref="D2:E2"/>
    <mergeCell ref="B15:C15"/>
    <mergeCell ref="D15:E15"/>
    <mergeCell ref="G15:H15"/>
    <mergeCell ref="G14:H14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31"/>
  <sheetViews>
    <sheetView workbookViewId="0">
      <pane ySplit="2" topLeftCell="A3" activePane="bottomLeft" state="frozenSplit"/>
      <selection pane="bottomLeft" activeCell="F7" sqref="F7"/>
    </sheetView>
  </sheetViews>
  <sheetFormatPr baseColWidth="10" defaultRowHeight="12.75" x14ac:dyDescent="0.2"/>
  <cols>
    <col min="1" max="1" width="9.28515625" style="1" customWidth="1"/>
    <col min="2" max="2" width="10.28515625" style="1" customWidth="1"/>
    <col min="3" max="3" width="7" style="1" customWidth="1"/>
    <col min="4" max="4" width="7.42578125" style="1" bestFit="1" customWidth="1"/>
    <col min="5" max="5" width="1" style="1" customWidth="1"/>
    <col min="6" max="6" width="12.42578125" style="1" customWidth="1"/>
    <col min="7" max="7" width="11.140625" style="1" customWidth="1"/>
    <col min="8" max="8" width="13.42578125" style="1" customWidth="1"/>
    <col min="9" max="9" width="20.5703125" style="1" customWidth="1"/>
    <col min="10" max="10" width="26.42578125" style="1" customWidth="1"/>
    <col min="11" max="11" width="19.140625" style="1" customWidth="1"/>
    <col min="12" max="16384" width="11.42578125" style="1"/>
  </cols>
  <sheetData>
    <row r="1" spans="1:12" ht="12.75" customHeight="1" x14ac:dyDescent="0.2">
      <c r="A1" s="179" t="s">
        <v>14</v>
      </c>
      <c r="B1" s="180"/>
      <c r="C1" s="180"/>
      <c r="D1" s="181"/>
      <c r="E1" s="183"/>
      <c r="F1" s="179" t="s">
        <v>1</v>
      </c>
      <c r="G1" s="179" t="s">
        <v>86</v>
      </c>
      <c r="H1" s="185"/>
      <c r="I1" s="190" t="s">
        <v>70</v>
      </c>
      <c r="J1" s="192" t="s">
        <v>2</v>
      </c>
      <c r="K1" s="188" t="s">
        <v>15</v>
      </c>
      <c r="L1" s="186" t="s">
        <v>69</v>
      </c>
    </row>
    <row r="2" spans="1:12" ht="13.5" thickBot="1" x14ac:dyDescent="0.25">
      <c r="A2" s="11" t="s">
        <v>4</v>
      </c>
      <c r="B2" s="12" t="s">
        <v>5</v>
      </c>
      <c r="C2" s="110" t="s">
        <v>6</v>
      </c>
      <c r="D2" s="13" t="s">
        <v>58</v>
      </c>
      <c r="E2" s="184"/>
      <c r="F2" s="182"/>
      <c r="G2" s="14" t="s">
        <v>7</v>
      </c>
      <c r="H2" s="15" t="s">
        <v>4</v>
      </c>
      <c r="I2" s="191"/>
      <c r="J2" s="193"/>
      <c r="K2" s="189"/>
      <c r="L2" s="187"/>
    </row>
    <row r="3" spans="1:12" ht="25.5" x14ac:dyDescent="0.2">
      <c r="A3" s="76">
        <f>249/452</f>
        <v>0.55088495575221241</v>
      </c>
      <c r="B3" s="77">
        <f>(440/2000)</f>
        <v>0.22</v>
      </c>
      <c r="C3" s="106">
        <v>0.5</v>
      </c>
      <c r="D3" s="111">
        <v>452</v>
      </c>
      <c r="E3" s="73"/>
      <c r="F3" s="118" t="s">
        <v>8</v>
      </c>
      <c r="G3" s="119"/>
      <c r="H3" s="119">
        <v>435</v>
      </c>
      <c r="I3" s="119">
        <v>3</v>
      </c>
      <c r="J3" s="120" t="s">
        <v>60</v>
      </c>
      <c r="K3" s="78">
        <f>IF(OR(ISNUMBER(G3),ISNUMBER(H3)),(A3+B3+C3)*D3/I3,"")</f>
        <v>191.48000000000002</v>
      </c>
      <c r="L3" s="132">
        <f>IF(H3="","",K3/H3)</f>
        <v>0.44018390804597707</v>
      </c>
    </row>
    <row r="4" spans="1:12" x14ac:dyDescent="0.2">
      <c r="A4" s="44">
        <v>0.55088495575221241</v>
      </c>
      <c r="B4" s="45">
        <v>0.22</v>
      </c>
      <c r="C4" s="105">
        <v>0.5</v>
      </c>
      <c r="D4" s="107">
        <v>452</v>
      </c>
      <c r="E4" s="2"/>
      <c r="F4" s="37" t="s">
        <v>8</v>
      </c>
      <c r="G4" s="48"/>
      <c r="H4" s="48">
        <v>435</v>
      </c>
      <c r="I4" s="48">
        <v>3</v>
      </c>
      <c r="J4" s="49" t="s">
        <v>61</v>
      </c>
      <c r="K4" s="66">
        <f t="shared" ref="K4:K29" si="0">IF(OR(ISNUMBER(G4),ISNUMBER(H4)),(A4+B4+C4)*D4/I4,"")</f>
        <v>191.48000000000002</v>
      </c>
      <c r="L4" s="132">
        <f t="shared" ref="L4:L29" si="1">IF(H4="","",K4/H4)</f>
        <v>0.44018390804597707</v>
      </c>
    </row>
    <row r="5" spans="1:12" x14ac:dyDescent="0.2">
      <c r="A5" s="44">
        <v>0.55088495575221241</v>
      </c>
      <c r="B5" s="45">
        <v>0.22</v>
      </c>
      <c r="C5" s="105">
        <v>0.5</v>
      </c>
      <c r="D5" s="107">
        <v>452</v>
      </c>
      <c r="E5" s="2"/>
      <c r="F5" s="37" t="s">
        <v>8</v>
      </c>
      <c r="G5" s="48"/>
      <c r="H5" s="48">
        <v>435</v>
      </c>
      <c r="I5" s="48">
        <v>3</v>
      </c>
      <c r="J5" s="49" t="s">
        <v>62</v>
      </c>
      <c r="K5" s="66">
        <f t="shared" si="0"/>
        <v>191.48000000000002</v>
      </c>
      <c r="L5" s="132">
        <f t="shared" si="1"/>
        <v>0.44018390804597707</v>
      </c>
    </row>
    <row r="6" spans="1:12" x14ac:dyDescent="0.2">
      <c r="A6" s="44">
        <f>307/378</f>
        <v>0.81216931216931221</v>
      </c>
      <c r="B6" s="45">
        <v>0.22</v>
      </c>
      <c r="C6" s="105">
        <v>0.5</v>
      </c>
      <c r="D6" s="107">
        <v>378</v>
      </c>
      <c r="E6" s="2"/>
      <c r="F6" s="121">
        <v>37987</v>
      </c>
      <c r="G6" s="48"/>
      <c r="H6" s="48">
        <f>378+6</f>
        <v>384</v>
      </c>
      <c r="I6" s="48">
        <v>4</v>
      </c>
      <c r="J6" s="49" t="s">
        <v>57</v>
      </c>
      <c r="K6" s="66">
        <f t="shared" si="0"/>
        <v>144.79000000000002</v>
      </c>
      <c r="L6" s="132">
        <f t="shared" si="1"/>
        <v>0.37705729166666674</v>
      </c>
    </row>
    <row r="7" spans="1:12" x14ac:dyDescent="0.2">
      <c r="A7" s="44">
        <v>0.81</v>
      </c>
      <c r="B7" s="45">
        <v>0.22</v>
      </c>
      <c r="C7" s="105">
        <v>0.53</v>
      </c>
      <c r="D7" s="107">
        <v>51</v>
      </c>
      <c r="E7" s="2"/>
      <c r="F7" s="121">
        <v>38626</v>
      </c>
      <c r="G7" s="48"/>
      <c r="H7" s="48">
        <v>51</v>
      </c>
      <c r="I7" s="48">
        <v>4</v>
      </c>
      <c r="J7" s="49"/>
      <c r="K7" s="66">
        <f t="shared" si="0"/>
        <v>19.89</v>
      </c>
      <c r="L7" s="132">
        <f t="shared" si="1"/>
        <v>0.39</v>
      </c>
    </row>
    <row r="8" spans="1:12" x14ac:dyDescent="0.2">
      <c r="A8" s="44"/>
      <c r="B8" s="45"/>
      <c r="C8" s="105"/>
      <c r="D8" s="107"/>
      <c r="E8" s="2"/>
      <c r="F8" s="37"/>
      <c r="G8" s="48"/>
      <c r="H8" s="48"/>
      <c r="I8" s="48"/>
      <c r="J8" s="49"/>
      <c r="K8" s="66" t="str">
        <f t="shared" si="0"/>
        <v/>
      </c>
      <c r="L8" s="132" t="str">
        <f t="shared" si="1"/>
        <v/>
      </c>
    </row>
    <row r="9" spans="1:12" x14ac:dyDescent="0.2">
      <c r="A9" s="44"/>
      <c r="B9" s="45"/>
      <c r="C9" s="105"/>
      <c r="D9" s="107"/>
      <c r="E9" s="2"/>
      <c r="F9" s="37"/>
      <c r="G9" s="48"/>
      <c r="H9" s="48"/>
      <c r="I9" s="48"/>
      <c r="J9" s="49"/>
      <c r="K9" s="66" t="str">
        <f t="shared" si="0"/>
        <v/>
      </c>
      <c r="L9" s="132" t="str">
        <f t="shared" si="1"/>
        <v/>
      </c>
    </row>
    <row r="10" spans="1:12" x14ac:dyDescent="0.2">
      <c r="A10" s="44"/>
      <c r="B10" s="45"/>
      <c r="C10" s="105"/>
      <c r="D10" s="107"/>
      <c r="E10" s="2"/>
      <c r="F10" s="37"/>
      <c r="G10" s="48"/>
      <c r="H10" s="48"/>
      <c r="I10" s="48"/>
      <c r="J10" s="49"/>
      <c r="K10" s="66" t="str">
        <f t="shared" si="0"/>
        <v/>
      </c>
      <c r="L10" s="132" t="str">
        <f t="shared" si="1"/>
        <v/>
      </c>
    </row>
    <row r="11" spans="1:12" x14ac:dyDescent="0.2">
      <c r="A11" s="44"/>
      <c r="B11" s="45"/>
      <c r="C11" s="105"/>
      <c r="D11" s="107"/>
      <c r="E11" s="2"/>
      <c r="F11" s="37"/>
      <c r="G11" s="48"/>
      <c r="H11" s="48"/>
      <c r="I11" s="48"/>
      <c r="J11" s="49"/>
      <c r="K11" s="66" t="str">
        <f t="shared" si="0"/>
        <v/>
      </c>
      <c r="L11" s="132" t="str">
        <f t="shared" si="1"/>
        <v/>
      </c>
    </row>
    <row r="12" spans="1:12" x14ac:dyDescent="0.2">
      <c r="A12" s="44"/>
      <c r="B12" s="45"/>
      <c r="C12" s="105"/>
      <c r="D12" s="107"/>
      <c r="E12" s="2"/>
      <c r="F12" s="37"/>
      <c r="G12" s="48"/>
      <c r="H12" s="48"/>
      <c r="I12" s="48"/>
      <c r="J12" s="49"/>
      <c r="K12" s="66" t="str">
        <f t="shared" si="0"/>
        <v/>
      </c>
      <c r="L12" s="132" t="str">
        <f t="shared" si="1"/>
        <v/>
      </c>
    </row>
    <row r="13" spans="1:12" x14ac:dyDescent="0.2">
      <c r="A13" s="44"/>
      <c r="B13" s="45"/>
      <c r="C13" s="105"/>
      <c r="D13" s="107"/>
      <c r="E13" s="2"/>
      <c r="F13" s="37"/>
      <c r="G13" s="48"/>
      <c r="H13" s="48"/>
      <c r="I13" s="48"/>
      <c r="J13" s="49"/>
      <c r="K13" s="66" t="str">
        <f t="shared" si="0"/>
        <v/>
      </c>
      <c r="L13" s="132" t="str">
        <f t="shared" si="1"/>
        <v/>
      </c>
    </row>
    <row r="14" spans="1:12" x14ac:dyDescent="0.2">
      <c r="A14" s="44"/>
      <c r="B14" s="45"/>
      <c r="C14" s="105"/>
      <c r="D14" s="107"/>
      <c r="E14" s="2"/>
      <c r="F14" s="37"/>
      <c r="G14" s="48"/>
      <c r="H14" s="48"/>
      <c r="I14" s="48"/>
      <c r="J14" s="49"/>
      <c r="K14" s="66" t="str">
        <f t="shared" si="0"/>
        <v/>
      </c>
      <c r="L14" s="132" t="str">
        <f t="shared" si="1"/>
        <v/>
      </c>
    </row>
    <row r="15" spans="1:12" x14ac:dyDescent="0.2">
      <c r="A15" s="44"/>
      <c r="B15" s="45"/>
      <c r="C15" s="105"/>
      <c r="D15" s="107"/>
      <c r="E15" s="2"/>
      <c r="F15" s="37"/>
      <c r="G15" s="48"/>
      <c r="H15" s="48"/>
      <c r="I15" s="48"/>
      <c r="J15" s="49"/>
      <c r="K15" s="66" t="str">
        <f t="shared" si="0"/>
        <v/>
      </c>
      <c r="L15" s="132" t="str">
        <f t="shared" si="1"/>
        <v/>
      </c>
    </row>
    <row r="16" spans="1:12" x14ac:dyDescent="0.2">
      <c r="A16" s="44"/>
      <c r="B16" s="45"/>
      <c r="C16" s="105"/>
      <c r="D16" s="107"/>
      <c r="E16" s="2"/>
      <c r="F16" s="37"/>
      <c r="G16" s="48"/>
      <c r="H16" s="48"/>
      <c r="I16" s="48"/>
      <c r="J16" s="49"/>
      <c r="K16" s="66" t="str">
        <f t="shared" si="0"/>
        <v/>
      </c>
      <c r="L16" s="132" t="str">
        <f t="shared" si="1"/>
        <v/>
      </c>
    </row>
    <row r="17" spans="1:12" x14ac:dyDescent="0.2">
      <c r="A17" s="44"/>
      <c r="B17" s="45"/>
      <c r="C17" s="105"/>
      <c r="D17" s="107"/>
      <c r="E17" s="2"/>
      <c r="F17" s="37"/>
      <c r="G17" s="48"/>
      <c r="H17" s="48"/>
      <c r="I17" s="48"/>
      <c r="J17" s="49"/>
      <c r="K17" s="66" t="str">
        <f t="shared" si="0"/>
        <v/>
      </c>
      <c r="L17" s="132" t="str">
        <f t="shared" si="1"/>
        <v/>
      </c>
    </row>
    <row r="18" spans="1:12" x14ac:dyDescent="0.2">
      <c r="A18" s="44"/>
      <c r="B18" s="45"/>
      <c r="C18" s="105"/>
      <c r="D18" s="107"/>
      <c r="E18" s="2"/>
      <c r="F18" s="37"/>
      <c r="G18" s="48"/>
      <c r="H18" s="48"/>
      <c r="I18" s="48"/>
      <c r="J18" s="49"/>
      <c r="K18" s="66" t="str">
        <f t="shared" si="0"/>
        <v/>
      </c>
      <c r="L18" s="132" t="str">
        <f t="shared" si="1"/>
        <v/>
      </c>
    </row>
    <row r="19" spans="1:12" x14ac:dyDescent="0.2">
      <c r="A19" s="44"/>
      <c r="B19" s="45"/>
      <c r="C19" s="105"/>
      <c r="D19" s="107"/>
      <c r="E19" s="2"/>
      <c r="F19" s="37"/>
      <c r="G19" s="48"/>
      <c r="H19" s="48"/>
      <c r="I19" s="48"/>
      <c r="J19" s="49"/>
      <c r="K19" s="66" t="str">
        <f t="shared" si="0"/>
        <v/>
      </c>
      <c r="L19" s="132" t="str">
        <f t="shared" si="1"/>
        <v/>
      </c>
    </row>
    <row r="20" spans="1:12" x14ac:dyDescent="0.2">
      <c r="A20" s="44"/>
      <c r="B20" s="45"/>
      <c r="C20" s="105"/>
      <c r="D20" s="107"/>
      <c r="E20" s="2"/>
      <c r="F20" s="37"/>
      <c r="G20" s="48"/>
      <c r="H20" s="48"/>
      <c r="I20" s="48"/>
      <c r="J20" s="49"/>
      <c r="K20" s="66" t="str">
        <f t="shared" si="0"/>
        <v/>
      </c>
      <c r="L20" s="132" t="str">
        <f t="shared" si="1"/>
        <v/>
      </c>
    </row>
    <row r="21" spans="1:12" x14ac:dyDescent="0.2">
      <c r="A21" s="44"/>
      <c r="B21" s="45"/>
      <c r="C21" s="105"/>
      <c r="D21" s="107"/>
      <c r="E21" s="2"/>
      <c r="F21" s="37"/>
      <c r="G21" s="48"/>
      <c r="H21" s="48"/>
      <c r="I21" s="48"/>
      <c r="J21" s="49"/>
      <c r="K21" s="66" t="str">
        <f t="shared" si="0"/>
        <v/>
      </c>
      <c r="L21" s="132" t="str">
        <f t="shared" si="1"/>
        <v/>
      </c>
    </row>
    <row r="22" spans="1:12" x14ac:dyDescent="0.2">
      <c r="A22" s="44"/>
      <c r="B22" s="45"/>
      <c r="C22" s="105"/>
      <c r="D22" s="107"/>
      <c r="E22" s="2"/>
      <c r="F22" s="37"/>
      <c r="G22" s="48"/>
      <c r="H22" s="48"/>
      <c r="I22" s="48"/>
      <c r="J22" s="49"/>
      <c r="K22" s="66" t="str">
        <f t="shared" si="0"/>
        <v/>
      </c>
      <c r="L22" s="132" t="str">
        <f t="shared" si="1"/>
        <v/>
      </c>
    </row>
    <row r="23" spans="1:12" x14ac:dyDescent="0.2">
      <c r="A23" s="44"/>
      <c r="B23" s="45"/>
      <c r="C23" s="105"/>
      <c r="D23" s="107"/>
      <c r="E23" s="2"/>
      <c r="F23" s="37"/>
      <c r="G23" s="48"/>
      <c r="H23" s="48"/>
      <c r="I23" s="48"/>
      <c r="J23" s="49"/>
      <c r="K23" s="66" t="str">
        <f t="shared" si="0"/>
        <v/>
      </c>
      <c r="L23" s="132" t="str">
        <f t="shared" si="1"/>
        <v/>
      </c>
    </row>
    <row r="24" spans="1:12" x14ac:dyDescent="0.2">
      <c r="A24" s="44"/>
      <c r="B24" s="45"/>
      <c r="C24" s="105"/>
      <c r="D24" s="107"/>
      <c r="E24" s="2"/>
      <c r="F24" s="37"/>
      <c r="G24" s="48"/>
      <c r="H24" s="48"/>
      <c r="I24" s="48"/>
      <c r="J24" s="49"/>
      <c r="K24" s="66" t="str">
        <f t="shared" si="0"/>
        <v/>
      </c>
      <c r="L24" s="132" t="str">
        <f t="shared" si="1"/>
        <v/>
      </c>
    </row>
    <row r="25" spans="1:12" x14ac:dyDescent="0.2">
      <c r="A25" s="44"/>
      <c r="B25" s="45"/>
      <c r="C25" s="105"/>
      <c r="D25" s="107"/>
      <c r="E25" s="2"/>
      <c r="F25" s="37"/>
      <c r="G25" s="48"/>
      <c r="H25" s="48"/>
      <c r="I25" s="48"/>
      <c r="J25" s="49"/>
      <c r="K25" s="66" t="str">
        <f t="shared" si="0"/>
        <v/>
      </c>
      <c r="L25" s="132" t="str">
        <f t="shared" si="1"/>
        <v/>
      </c>
    </row>
    <row r="26" spans="1:12" x14ac:dyDescent="0.2">
      <c r="A26" s="44"/>
      <c r="B26" s="45"/>
      <c r="C26" s="105"/>
      <c r="D26" s="107"/>
      <c r="E26" s="2"/>
      <c r="F26" s="37"/>
      <c r="G26" s="48"/>
      <c r="H26" s="48"/>
      <c r="I26" s="48"/>
      <c r="J26" s="49"/>
      <c r="K26" s="66" t="str">
        <f t="shared" si="0"/>
        <v/>
      </c>
      <c r="L26" s="132" t="str">
        <f t="shared" si="1"/>
        <v/>
      </c>
    </row>
    <row r="27" spans="1:12" x14ac:dyDescent="0.2">
      <c r="A27" s="44"/>
      <c r="B27" s="45"/>
      <c r="C27" s="105"/>
      <c r="D27" s="107"/>
      <c r="E27" s="2"/>
      <c r="F27" s="37"/>
      <c r="G27" s="48"/>
      <c r="H27" s="48"/>
      <c r="I27" s="48"/>
      <c r="J27" s="49"/>
      <c r="K27" s="66" t="str">
        <f t="shared" si="0"/>
        <v/>
      </c>
      <c r="L27" s="132" t="str">
        <f t="shared" si="1"/>
        <v/>
      </c>
    </row>
    <row r="28" spans="1:12" x14ac:dyDescent="0.2">
      <c r="A28" s="44"/>
      <c r="B28" s="45"/>
      <c r="C28" s="105"/>
      <c r="D28" s="107"/>
      <c r="E28" s="2"/>
      <c r="F28" s="37"/>
      <c r="G28" s="48"/>
      <c r="H28" s="48"/>
      <c r="I28" s="48"/>
      <c r="J28" s="49"/>
      <c r="K28" s="66" t="str">
        <f t="shared" si="0"/>
        <v/>
      </c>
      <c r="L28" s="132" t="str">
        <f t="shared" si="1"/>
        <v/>
      </c>
    </row>
    <row r="29" spans="1:12" ht="13.5" thickBot="1" x14ac:dyDescent="0.25">
      <c r="A29" s="46"/>
      <c r="B29" s="47"/>
      <c r="C29" s="109"/>
      <c r="D29" s="108"/>
      <c r="E29" s="2"/>
      <c r="F29" s="38"/>
      <c r="G29" s="50"/>
      <c r="H29" s="50"/>
      <c r="I29" s="50"/>
      <c r="J29" s="51"/>
      <c r="K29" s="67" t="str">
        <f t="shared" si="0"/>
        <v/>
      </c>
      <c r="L29" s="132" t="str">
        <f t="shared" si="1"/>
        <v/>
      </c>
    </row>
    <row r="30" spans="1:12" ht="7.5" customHeight="1" x14ac:dyDescent="0.2"/>
    <row r="31" spans="1:12" x14ac:dyDescent="0.2">
      <c r="A31" s="35"/>
      <c r="B31" s="36" t="s">
        <v>35</v>
      </c>
      <c r="C31" s="36"/>
    </row>
  </sheetData>
  <sheetProtection sheet="1" objects="1" scenarios="1"/>
  <mergeCells count="8">
    <mergeCell ref="A1:D1"/>
    <mergeCell ref="F1:F2"/>
    <mergeCell ref="E1:E2"/>
    <mergeCell ref="G1:H1"/>
    <mergeCell ref="L1:L2"/>
    <mergeCell ref="K1:K2"/>
    <mergeCell ref="I1:I2"/>
    <mergeCell ref="J1:J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36"/>
  <sheetViews>
    <sheetView tabSelected="1" zoomScale="85" workbookViewId="0">
      <pane ySplit="1" topLeftCell="A5" activePane="bottomLeft" state="frozenSplit"/>
      <selection pane="bottomLeft" activeCell="E24" sqref="E24"/>
    </sheetView>
  </sheetViews>
  <sheetFormatPr baseColWidth="10" defaultRowHeight="12.75" x14ac:dyDescent="0.2"/>
  <cols>
    <col min="1" max="1" width="14.7109375" style="1" customWidth="1"/>
    <col min="2" max="2" width="26" style="1" customWidth="1"/>
    <col min="3" max="3" width="11.85546875" style="1" customWidth="1"/>
    <col min="4" max="4" width="12.42578125" style="1" customWidth="1"/>
    <col min="5" max="5" width="12.85546875" style="1" customWidth="1"/>
    <col min="6" max="6" width="12.140625" style="1" customWidth="1"/>
    <col min="7" max="7" width="8.140625" style="1" customWidth="1"/>
    <col min="8" max="8" width="13.140625" style="1" customWidth="1"/>
    <col min="9" max="9" width="9" style="1" hidden="1" customWidth="1"/>
    <col min="10" max="10" width="10.5703125" style="1" hidden="1" customWidth="1"/>
    <col min="11" max="11" width="10.42578125" style="1" customWidth="1"/>
    <col min="12" max="12" width="10" style="1" customWidth="1"/>
    <col min="13" max="13" width="14.28515625" style="1" customWidth="1"/>
    <col min="14" max="14" width="16.5703125" style="1" customWidth="1"/>
    <col min="15" max="15" width="11.42578125" style="29"/>
    <col min="16" max="16384" width="11.42578125" style="1"/>
  </cols>
  <sheetData>
    <row r="1" spans="1:15" ht="76.5" customHeight="1" thickBot="1" x14ac:dyDescent="0.25">
      <c r="A1" s="87" t="s">
        <v>0</v>
      </c>
      <c r="B1" s="87" t="s">
        <v>3</v>
      </c>
      <c r="C1" s="88" t="s">
        <v>67</v>
      </c>
      <c r="D1" s="88" t="s">
        <v>59</v>
      </c>
      <c r="E1" s="88" t="s">
        <v>52</v>
      </c>
      <c r="F1" s="88" t="s">
        <v>84</v>
      </c>
      <c r="G1" s="88" t="s">
        <v>55</v>
      </c>
      <c r="H1" s="124" t="s">
        <v>83</v>
      </c>
      <c r="I1" s="125" t="s">
        <v>71</v>
      </c>
      <c r="J1" s="122" t="s">
        <v>63</v>
      </c>
      <c r="K1" s="124" t="s">
        <v>92</v>
      </c>
      <c r="L1" s="125" t="s">
        <v>81</v>
      </c>
      <c r="M1" s="122" t="s">
        <v>82</v>
      </c>
      <c r="N1" s="89" t="s">
        <v>94</v>
      </c>
    </row>
    <row r="2" spans="1:15" x14ac:dyDescent="0.2">
      <c r="A2" s="79" t="s">
        <v>68</v>
      </c>
      <c r="B2" s="79">
        <v>7</v>
      </c>
      <c r="C2" s="79">
        <v>4</v>
      </c>
      <c r="D2" s="79">
        <v>1425</v>
      </c>
      <c r="E2" s="80">
        <v>0</v>
      </c>
      <c r="F2" s="112"/>
      <c r="G2" s="80"/>
      <c r="H2" s="68">
        <v>1916</v>
      </c>
      <c r="I2" s="126">
        <f t="shared" ref="I2:I30" si="0">IF(ISNUMBER(H2),D2-E2-H2,"")</f>
        <v>-491</v>
      </c>
      <c r="J2" s="81">
        <f t="shared" ref="J2:J30" si="1">IF(ISNUMBER(H2),I2/D2,"")</f>
        <v>-0.34456140350877196</v>
      </c>
      <c r="K2" s="68">
        <f>3860-150-42*5</f>
        <v>3500</v>
      </c>
      <c r="L2" s="126">
        <f>IF(ISNUMBER(K2),D2-E2-K2,"")</f>
        <v>-2075</v>
      </c>
      <c r="M2" s="81">
        <f>IF(ISNUMBER(K2),L2/D2,"")</f>
        <v>-1.4561403508771931</v>
      </c>
      <c r="N2" s="117" t="s">
        <v>34</v>
      </c>
      <c r="O2" s="117" t="s">
        <v>50</v>
      </c>
    </row>
    <row r="3" spans="1:15" x14ac:dyDescent="0.2">
      <c r="A3" s="82" t="s">
        <v>11</v>
      </c>
      <c r="B3" s="83">
        <v>5</v>
      </c>
      <c r="C3" s="83">
        <v>12</v>
      </c>
      <c r="D3" s="83">
        <v>2260</v>
      </c>
      <c r="E3" s="84">
        <v>0</v>
      </c>
      <c r="F3" s="113"/>
      <c r="G3" s="84"/>
      <c r="H3" s="69">
        <f>'Coût théorique'!B22-150-42*8</f>
        <v>2326.195005215684</v>
      </c>
      <c r="I3" s="127">
        <f t="shared" si="0"/>
        <v>-66.195005215683977</v>
      </c>
      <c r="J3" s="85">
        <f t="shared" si="1"/>
        <v>-2.9289825316674328E-2</v>
      </c>
      <c r="K3" s="69">
        <f>4736-150-42*8</f>
        <v>4250</v>
      </c>
      <c r="L3" s="127">
        <f t="shared" ref="L3:L30" si="2">IF(ISNUMBER(K3),D3-E3-K3,"")</f>
        <v>-1990</v>
      </c>
      <c r="M3" s="85">
        <f t="shared" ref="M3:M30" si="3">IF(ISNUMBER(K3),L3/D3,"")</f>
        <v>-0.88053097345132747</v>
      </c>
      <c r="N3" s="117" t="s">
        <v>34</v>
      </c>
      <c r="O3" s="117" t="s">
        <v>50</v>
      </c>
    </row>
    <row r="4" spans="1:15" x14ac:dyDescent="0.2">
      <c r="A4" s="52" t="s">
        <v>10</v>
      </c>
      <c r="B4" s="52" t="s">
        <v>79</v>
      </c>
      <c r="C4" s="52">
        <v>5</v>
      </c>
      <c r="D4" s="52">
        <f>1600+7500</f>
        <v>9100</v>
      </c>
      <c r="E4" s="53">
        <f>'coût prospection'!K3</f>
        <v>191.48000000000002</v>
      </c>
      <c r="F4" s="115">
        <f>2+2+(0.12+0.61+0.52+0.33)</f>
        <v>5.58</v>
      </c>
      <c r="G4" s="53">
        <v>1360</v>
      </c>
      <c r="H4" s="129">
        <f>F4*547+1360</f>
        <v>4412.26</v>
      </c>
      <c r="I4" s="127">
        <f t="shared" si="0"/>
        <v>4496.26</v>
      </c>
      <c r="J4" s="70">
        <f t="shared" si="1"/>
        <v>0.49409450549450551</v>
      </c>
      <c r="K4" s="129">
        <f>F4*1000+1360</f>
        <v>6940</v>
      </c>
      <c r="L4" s="127">
        <f t="shared" si="2"/>
        <v>1968.5200000000004</v>
      </c>
      <c r="M4" s="85">
        <f t="shared" si="3"/>
        <v>0.21632087912087916</v>
      </c>
      <c r="N4" s="117" t="s">
        <v>53</v>
      </c>
      <c r="O4" s="117" t="s">
        <v>66</v>
      </c>
    </row>
    <row r="5" spans="1:15" x14ac:dyDescent="0.2">
      <c r="A5" s="54">
        <v>37994</v>
      </c>
      <c r="B5" s="52" t="s">
        <v>9</v>
      </c>
      <c r="C5" s="52">
        <v>6</v>
      </c>
      <c r="D5" s="52">
        <f>2250+750+750+750</f>
        <v>4500</v>
      </c>
      <c r="E5" s="53">
        <f>'coût prospection'!K3</f>
        <v>191.48000000000002</v>
      </c>
      <c r="F5" s="114">
        <f>2+0.77+0.05+1.16</f>
        <v>3.9799999999999995</v>
      </c>
      <c r="G5" s="53">
        <v>560</v>
      </c>
      <c r="H5" s="129">
        <f>560+F5*547</f>
        <v>2737.06</v>
      </c>
      <c r="I5" s="127">
        <f t="shared" si="0"/>
        <v>1571.4600000000005</v>
      </c>
      <c r="J5" s="70">
        <f t="shared" si="1"/>
        <v>0.34921333333333343</v>
      </c>
      <c r="K5" s="129">
        <f>560+F5*1000</f>
        <v>4540</v>
      </c>
      <c r="L5" s="127">
        <f t="shared" si="2"/>
        <v>-231.47999999999956</v>
      </c>
      <c r="M5" s="85">
        <f t="shared" si="3"/>
        <v>-5.1439999999999902E-2</v>
      </c>
      <c r="N5" s="117" t="s">
        <v>54</v>
      </c>
      <c r="O5" s="123" t="s">
        <v>65</v>
      </c>
    </row>
    <row r="6" spans="1:15" x14ac:dyDescent="0.2">
      <c r="A6" s="52" t="s">
        <v>12</v>
      </c>
      <c r="B6" s="52" t="s">
        <v>13</v>
      </c>
      <c r="C6" s="52">
        <v>5</v>
      </c>
      <c r="D6" s="52">
        <f>3200+1000</f>
        <v>4200</v>
      </c>
      <c r="E6" s="53">
        <f>'coût prospection'!K3</f>
        <v>191.48000000000002</v>
      </c>
      <c r="F6" s="115">
        <f>0.19+0.47+2</f>
        <v>2.66</v>
      </c>
      <c r="G6" s="53">
        <f>894.29+58.89</f>
        <v>953.18</v>
      </c>
      <c r="H6" s="69">
        <f t="shared" ref="H6:H11" si="4">IF(D6="","",F6*547+G6)</f>
        <v>2408.1999999999998</v>
      </c>
      <c r="I6" s="127">
        <f t="shared" si="0"/>
        <v>1600.3200000000002</v>
      </c>
      <c r="J6" s="70">
        <f t="shared" si="1"/>
        <v>0.38102857142857149</v>
      </c>
      <c r="K6" s="69">
        <f t="shared" ref="K6:K11" si="5">IF(G6="","",F6*1000+G6)</f>
        <v>3613.18</v>
      </c>
      <c r="L6" s="127">
        <f t="shared" si="2"/>
        <v>395.34000000000015</v>
      </c>
      <c r="M6" s="85">
        <f t="shared" si="3"/>
        <v>9.4128571428571464E-2</v>
      </c>
      <c r="N6" s="117" t="s">
        <v>54</v>
      </c>
      <c r="O6" s="123" t="s">
        <v>64</v>
      </c>
    </row>
    <row r="7" spans="1:15" x14ac:dyDescent="0.2">
      <c r="A7" s="54">
        <v>38009</v>
      </c>
      <c r="B7" s="52" t="s">
        <v>80</v>
      </c>
      <c r="C7" s="52" t="s">
        <v>78</v>
      </c>
      <c r="D7" s="52">
        <v>1900</v>
      </c>
      <c r="E7" s="53">
        <f>145/C33</f>
        <v>24.166666666666668</v>
      </c>
      <c r="F7" s="114">
        <f>(D7-E7)/1000</f>
        <v>1.8758333333333332</v>
      </c>
      <c r="G7" s="53">
        <v>0</v>
      </c>
      <c r="H7" s="69">
        <f t="shared" si="4"/>
        <v>1026.0808333333332</v>
      </c>
      <c r="I7" s="127">
        <f>IF(ISNUMBER(H7),D7-E7-H7,"")</f>
        <v>849.75250000000005</v>
      </c>
      <c r="J7" s="70">
        <f>IF(ISNUMBER(H7),I7/D7,"")</f>
        <v>0.44723815789473687</v>
      </c>
      <c r="K7" s="69">
        <f t="shared" si="5"/>
        <v>1875.8333333333333</v>
      </c>
      <c r="L7" s="127">
        <f>IF(ISNUMBER(K7),D7-E7-K7,"")</f>
        <v>0</v>
      </c>
      <c r="M7" s="85">
        <f>IF(ISNUMBER(K7),L7/D7,"")</f>
        <v>0</v>
      </c>
      <c r="N7" s="117" t="s">
        <v>77</v>
      </c>
      <c r="O7" s="117" t="s">
        <v>85</v>
      </c>
    </row>
    <row r="8" spans="1:15" x14ac:dyDescent="0.2">
      <c r="A8" s="54">
        <v>38020</v>
      </c>
      <c r="B8" s="52" t="s">
        <v>76</v>
      </c>
      <c r="C8" s="52" t="s">
        <v>78</v>
      </c>
      <c r="D8" s="52">
        <v>1500</v>
      </c>
      <c r="E8" s="53">
        <f>145/C33</f>
        <v>24.166666666666668</v>
      </c>
      <c r="F8" s="114">
        <f>(D8-E8)/1000</f>
        <v>1.4758333333333333</v>
      </c>
      <c r="G8" s="53">
        <v>0</v>
      </c>
      <c r="H8" s="69">
        <f t="shared" si="4"/>
        <v>807.28083333333336</v>
      </c>
      <c r="I8" s="127">
        <f>IF(ISNUMBER(H8),D8-E8-H8,"")</f>
        <v>668.5524999999999</v>
      </c>
      <c r="J8" s="70">
        <f>IF(ISNUMBER(H8),I8/D8,"")</f>
        <v>0.44570166666666661</v>
      </c>
      <c r="K8" s="69">
        <f t="shared" si="5"/>
        <v>1475.8333333333333</v>
      </c>
      <c r="L8" s="127">
        <f>IF(ISNUMBER(K8),D8-E8-K8,"")</f>
        <v>0</v>
      </c>
      <c r="M8" s="85">
        <f>IF(ISNUMBER(K8),L8/D8,"")</f>
        <v>0</v>
      </c>
      <c r="N8" s="117" t="s">
        <v>77</v>
      </c>
      <c r="O8" s="117" t="s">
        <v>85</v>
      </c>
    </row>
    <row r="9" spans="1:15" x14ac:dyDescent="0.2">
      <c r="A9" s="54">
        <v>38065</v>
      </c>
      <c r="B9" s="52" t="s">
        <v>91</v>
      </c>
      <c r="C9" s="52" t="s">
        <v>78</v>
      </c>
      <c r="D9" s="52">
        <v>2000</v>
      </c>
      <c r="E9" s="53">
        <f>145/C33</f>
        <v>24.166666666666668</v>
      </c>
      <c r="F9" s="114">
        <f>(D9-E9)/1000</f>
        <v>1.9758333333333333</v>
      </c>
      <c r="G9" s="53">
        <v>0</v>
      </c>
      <c r="H9" s="69">
        <f t="shared" si="4"/>
        <v>1080.7808333333332</v>
      </c>
      <c r="I9" s="127">
        <f>IF(ISNUMBER(H9),D9-E9-H9,"")</f>
        <v>895.05250000000001</v>
      </c>
      <c r="J9" s="70">
        <f>IF(ISNUMBER(H9),I9/D9,"")</f>
        <v>0.44752625000000001</v>
      </c>
      <c r="K9" s="69">
        <f t="shared" si="5"/>
        <v>1975.8333333333333</v>
      </c>
      <c r="L9" s="127">
        <f>IF(ISNUMBER(K9),D9-E9-K9,"")</f>
        <v>0</v>
      </c>
      <c r="M9" s="85">
        <f>IF(ISNUMBER(K9),L9/D9,"")</f>
        <v>0</v>
      </c>
      <c r="N9" s="117" t="s">
        <v>77</v>
      </c>
      <c r="O9" s="117" t="s">
        <v>85</v>
      </c>
    </row>
    <row r="10" spans="1:15" x14ac:dyDescent="0.2">
      <c r="A10" s="54" t="s">
        <v>72</v>
      </c>
      <c r="B10" s="52" t="s">
        <v>73</v>
      </c>
      <c r="C10" s="52">
        <v>92</v>
      </c>
      <c r="D10" s="52">
        <f>(2.725+8+4.5)*1000</f>
        <v>15225</v>
      </c>
      <c r="E10" s="53">
        <f>145/C33</f>
        <v>24.166666666666668</v>
      </c>
      <c r="F10" s="114">
        <f>1.83+6.61+4.5+0.5/C33</f>
        <v>13.023333333333335</v>
      </c>
      <c r="G10" s="53">
        <v>0</v>
      </c>
      <c r="H10" s="69">
        <f t="shared" si="4"/>
        <v>7123.7633333333342</v>
      </c>
      <c r="I10" s="127">
        <f>IF(ISNUMBER(H10),D10-E10-H10,"")</f>
        <v>8077.07</v>
      </c>
      <c r="J10" s="70">
        <f>IF(ISNUMBER(H10),I10/D10,"")</f>
        <v>0.53051362889983578</v>
      </c>
      <c r="K10" s="69">
        <f t="shared" si="5"/>
        <v>13023.333333333336</v>
      </c>
      <c r="L10" s="127">
        <f>IF(ISNUMBER(K10),D10-E10-K10,"")</f>
        <v>2177.4999999999982</v>
      </c>
      <c r="M10" s="85">
        <f>IF(ISNUMBER(K10),L10/D10,"")</f>
        <v>0.14302134646962222</v>
      </c>
      <c r="N10" s="117" t="s">
        <v>74</v>
      </c>
      <c r="O10" s="117"/>
    </row>
    <row r="11" spans="1:15" x14ac:dyDescent="0.2">
      <c r="A11" s="54" t="s">
        <v>75</v>
      </c>
      <c r="B11" s="52" t="s">
        <v>79</v>
      </c>
      <c r="C11" s="52">
        <v>3</v>
      </c>
      <c r="D11" s="52">
        <f>1600*3</f>
        <v>4800</v>
      </c>
      <c r="E11" s="53">
        <v>0</v>
      </c>
      <c r="F11" s="114">
        <f>0.31+2</f>
        <v>2.31</v>
      </c>
      <c r="G11" s="53">
        <f>14.8+14.1+92.1+62.67+12.74</f>
        <v>196.41000000000003</v>
      </c>
      <c r="H11" s="69">
        <f t="shared" si="4"/>
        <v>1459.98</v>
      </c>
      <c r="I11" s="127">
        <f>IF(ISNUMBER(H11),D11-E11-H11,"")</f>
        <v>3340.02</v>
      </c>
      <c r="J11" s="70">
        <f>IF(ISNUMBER(H11),I11/D11,"")</f>
        <v>0.6958375</v>
      </c>
      <c r="K11" s="69">
        <f t="shared" si="5"/>
        <v>2506.41</v>
      </c>
      <c r="L11" s="127">
        <f>IF(ISNUMBER(K11),D11-E11-K11,"")</f>
        <v>2293.59</v>
      </c>
      <c r="M11" s="85">
        <f>IF(ISNUMBER(K11),L11/D11,"")</f>
        <v>0.47783125000000004</v>
      </c>
      <c r="N11" s="117" t="s">
        <v>53</v>
      </c>
      <c r="O11" s="117"/>
    </row>
    <row r="12" spans="1:15" x14ac:dyDescent="0.2">
      <c r="A12" s="54">
        <v>38147</v>
      </c>
      <c r="B12" s="52" t="s">
        <v>90</v>
      </c>
      <c r="C12" s="52">
        <v>8</v>
      </c>
      <c r="D12" s="52">
        <v>900</v>
      </c>
      <c r="E12" s="53">
        <v>0</v>
      </c>
      <c r="F12" s="114">
        <v>1</v>
      </c>
      <c r="G12" s="53">
        <v>0</v>
      </c>
      <c r="H12" s="69">
        <f t="shared" ref="H12:H30" si="6">IF(D12="","",F12*547+G12)</f>
        <v>547</v>
      </c>
      <c r="I12" s="127">
        <f t="shared" si="0"/>
        <v>353</v>
      </c>
      <c r="J12" s="70">
        <f t="shared" si="1"/>
        <v>0.39222222222222225</v>
      </c>
      <c r="K12" s="69">
        <f t="shared" ref="K12:K30" si="7">IF(G12="","",F12*1000+G12)</f>
        <v>1000</v>
      </c>
      <c r="L12" s="127">
        <f t="shared" si="2"/>
        <v>-100</v>
      </c>
      <c r="M12" s="85">
        <f t="shared" si="3"/>
        <v>-0.1111111111111111</v>
      </c>
      <c r="N12" s="117" t="s">
        <v>93</v>
      </c>
      <c r="O12" s="123" t="s">
        <v>118</v>
      </c>
    </row>
    <row r="13" spans="1:15" x14ac:dyDescent="0.2">
      <c r="A13" s="54">
        <v>38148</v>
      </c>
      <c r="B13" s="52" t="s">
        <v>102</v>
      </c>
      <c r="C13" s="52">
        <v>18</v>
      </c>
      <c r="D13" s="52">
        <v>2000</v>
      </c>
      <c r="E13" s="53">
        <f>145/C33</f>
        <v>24.166666666666668</v>
      </c>
      <c r="F13" s="114">
        <f>(5.22+8)/8</f>
        <v>1.6524999999999999</v>
      </c>
      <c r="G13" s="53">
        <v>0</v>
      </c>
      <c r="H13" s="69">
        <f t="shared" si="6"/>
        <v>903.9174999999999</v>
      </c>
      <c r="I13" s="127">
        <f t="shared" si="0"/>
        <v>1071.9158333333335</v>
      </c>
      <c r="J13" s="70">
        <f t="shared" si="1"/>
        <v>0.5359579166666667</v>
      </c>
      <c r="K13" s="69">
        <f t="shared" si="7"/>
        <v>1652.4999999999998</v>
      </c>
      <c r="L13" s="127">
        <f t="shared" si="2"/>
        <v>323.33333333333348</v>
      </c>
      <c r="M13" s="85">
        <f t="shared" si="3"/>
        <v>0.16166666666666674</v>
      </c>
      <c r="N13" s="117" t="s">
        <v>54</v>
      </c>
      <c r="O13" s="117"/>
    </row>
    <row r="14" spans="1:15" x14ac:dyDescent="0.2">
      <c r="A14" s="54">
        <v>38328</v>
      </c>
      <c r="B14" s="52" t="s">
        <v>123</v>
      </c>
      <c r="C14" s="52">
        <v>12</v>
      </c>
      <c r="D14" s="52">
        <f>3588/2+1644.5</f>
        <v>3438.5</v>
      </c>
      <c r="E14" s="53">
        <v>0</v>
      </c>
      <c r="F14" s="114">
        <v>3.09</v>
      </c>
      <c r="G14" s="53">
        <v>0</v>
      </c>
      <c r="H14" s="69">
        <f t="shared" si="6"/>
        <v>1690.23</v>
      </c>
      <c r="I14" s="127">
        <f t="shared" si="0"/>
        <v>1748.27</v>
      </c>
      <c r="J14" s="70">
        <f t="shared" si="1"/>
        <v>0.50843972662498182</v>
      </c>
      <c r="K14" s="69">
        <f t="shared" si="7"/>
        <v>3090</v>
      </c>
      <c r="L14" s="127">
        <f t="shared" si="2"/>
        <v>348.5</v>
      </c>
      <c r="M14" s="85">
        <f t="shared" si="3"/>
        <v>0.10135233386651156</v>
      </c>
      <c r="N14" s="164" t="s">
        <v>121</v>
      </c>
      <c r="O14" s="117"/>
    </row>
    <row r="15" spans="1:15" x14ac:dyDescent="0.2">
      <c r="A15" s="54">
        <v>38330</v>
      </c>
      <c r="B15" s="52" t="s">
        <v>125</v>
      </c>
      <c r="C15" s="52">
        <v>17</v>
      </c>
      <c r="D15" s="52">
        <f>3588/2+1106.3</f>
        <v>2900.3</v>
      </c>
      <c r="E15" s="53">
        <v>0</v>
      </c>
      <c r="F15" s="114">
        <v>2.16</v>
      </c>
      <c r="G15" s="53">
        <v>0</v>
      </c>
      <c r="H15" s="69">
        <f t="shared" si="6"/>
        <v>1181.52</v>
      </c>
      <c r="I15" s="127">
        <f t="shared" si="0"/>
        <v>1718.7800000000002</v>
      </c>
      <c r="J15" s="70">
        <f t="shared" si="1"/>
        <v>0.59262145295314284</v>
      </c>
      <c r="K15" s="69">
        <f t="shared" si="7"/>
        <v>2160</v>
      </c>
      <c r="L15" s="127">
        <f t="shared" si="2"/>
        <v>740.30000000000018</v>
      </c>
      <c r="M15" s="85">
        <f t="shared" si="3"/>
        <v>0.25524945695272905</v>
      </c>
      <c r="N15" s="164" t="s">
        <v>121</v>
      </c>
      <c r="O15" s="117"/>
    </row>
    <row r="16" spans="1:15" x14ac:dyDescent="0.2">
      <c r="A16" s="54" t="s">
        <v>120</v>
      </c>
      <c r="B16" s="52" t="s">
        <v>79</v>
      </c>
      <c r="C16" s="52">
        <v>5</v>
      </c>
      <c r="D16" s="52">
        <v>1600</v>
      </c>
      <c r="E16" s="53">
        <v>0</v>
      </c>
      <c r="F16" s="114">
        <v>2.1800000000000002</v>
      </c>
      <c r="G16" s="53">
        <f>100</f>
        <v>100</v>
      </c>
      <c r="H16" s="69">
        <f t="shared" si="6"/>
        <v>1292.46</v>
      </c>
      <c r="I16" s="127">
        <f t="shared" si="0"/>
        <v>307.53999999999996</v>
      </c>
      <c r="J16" s="70">
        <f t="shared" si="1"/>
        <v>0.19221249999999998</v>
      </c>
      <c r="K16" s="69">
        <f t="shared" si="7"/>
        <v>2280</v>
      </c>
      <c r="L16" s="127">
        <f t="shared" si="2"/>
        <v>-680</v>
      </c>
      <c r="M16" s="85">
        <f t="shared" si="3"/>
        <v>-0.42499999999999999</v>
      </c>
      <c r="N16" s="117" t="s">
        <v>132</v>
      </c>
      <c r="O16" s="117"/>
    </row>
    <row r="17" spans="1:15" x14ac:dyDescent="0.2">
      <c r="A17" s="54">
        <v>38401</v>
      </c>
      <c r="B17" s="52" t="s">
        <v>128</v>
      </c>
      <c r="C17" s="52"/>
      <c r="D17" s="52">
        <v>2800</v>
      </c>
      <c r="E17" s="53">
        <v>0</v>
      </c>
      <c r="F17" s="114">
        <f>(60*8+103+183+114+109+25+7*60)/(60*8)</f>
        <v>2.9874999999999998</v>
      </c>
      <c r="G17" s="53">
        <v>0</v>
      </c>
      <c r="H17" s="69">
        <f t="shared" si="6"/>
        <v>1634.1624999999999</v>
      </c>
      <c r="I17" s="127">
        <f t="shared" si="0"/>
        <v>1165.8375000000001</v>
      </c>
      <c r="J17" s="70">
        <f t="shared" si="1"/>
        <v>0.41637053571428573</v>
      </c>
      <c r="K17" s="69">
        <f t="shared" si="7"/>
        <v>2987.5</v>
      </c>
      <c r="L17" s="127">
        <f t="shared" si="2"/>
        <v>-187.5</v>
      </c>
      <c r="M17" s="85">
        <f t="shared" si="3"/>
        <v>-6.6964285714285712E-2</v>
      </c>
      <c r="N17" s="117" t="s">
        <v>129</v>
      </c>
      <c r="O17" s="117" t="s">
        <v>130</v>
      </c>
    </row>
    <row r="18" spans="1:15" x14ac:dyDescent="0.2">
      <c r="A18" s="54" t="s">
        <v>131</v>
      </c>
      <c r="B18" s="52" t="s">
        <v>13</v>
      </c>
      <c r="C18" s="52">
        <v>5</v>
      </c>
      <c r="D18" s="52">
        <v>3200</v>
      </c>
      <c r="E18" s="53">
        <f>145/C33</f>
        <v>24.166666666666668</v>
      </c>
      <c r="F18" s="114">
        <v>3.07</v>
      </c>
      <c r="G18" s="53">
        <f>106.4+155.3+20</f>
        <v>281.70000000000005</v>
      </c>
      <c r="H18" s="69">
        <f t="shared" si="6"/>
        <v>1960.99</v>
      </c>
      <c r="I18" s="127">
        <f t="shared" si="0"/>
        <v>1214.8433333333335</v>
      </c>
      <c r="J18" s="70">
        <f t="shared" si="1"/>
        <v>0.37963854166666672</v>
      </c>
      <c r="K18" s="69">
        <f t="shared" si="7"/>
        <v>3351.7</v>
      </c>
      <c r="L18" s="127">
        <f t="shared" si="2"/>
        <v>-175.86666666666633</v>
      </c>
      <c r="M18" s="85">
        <f t="shared" si="3"/>
        <v>-5.4958333333333227E-2</v>
      </c>
      <c r="N18" s="117" t="s">
        <v>132</v>
      </c>
      <c r="O18" s="117"/>
    </row>
    <row r="19" spans="1:15" x14ac:dyDescent="0.2">
      <c r="A19" s="54" t="s">
        <v>135</v>
      </c>
      <c r="B19" s="52" t="s">
        <v>13</v>
      </c>
      <c r="C19" s="52">
        <v>3</v>
      </c>
      <c r="D19" s="52">
        <v>3200</v>
      </c>
      <c r="E19" s="53">
        <v>0</v>
      </c>
      <c r="F19" s="114">
        <v>0</v>
      </c>
      <c r="G19" s="53">
        <f>20.07+7.35+44.5+4.9+1.1+56</f>
        <v>133.92000000000002</v>
      </c>
      <c r="H19" s="69">
        <f t="shared" si="6"/>
        <v>133.92000000000002</v>
      </c>
      <c r="I19" s="127">
        <f t="shared" si="0"/>
        <v>3066.08</v>
      </c>
      <c r="J19" s="70">
        <f t="shared" si="1"/>
        <v>0.95814999999999995</v>
      </c>
      <c r="K19" s="69">
        <f t="shared" si="7"/>
        <v>133.92000000000002</v>
      </c>
      <c r="L19" s="127">
        <f t="shared" si="2"/>
        <v>3066.08</v>
      </c>
      <c r="M19" s="85">
        <f t="shared" si="3"/>
        <v>0.95814999999999995</v>
      </c>
      <c r="N19" s="117" t="s">
        <v>54</v>
      </c>
      <c r="O19" s="117"/>
    </row>
    <row r="20" spans="1:15" x14ac:dyDescent="0.2">
      <c r="A20" s="54">
        <v>38748</v>
      </c>
      <c r="B20" s="52" t="s">
        <v>137</v>
      </c>
      <c r="C20" s="52">
        <v>5</v>
      </c>
      <c r="D20" s="52">
        <v>1500</v>
      </c>
      <c r="E20" s="53">
        <v>0</v>
      </c>
      <c r="F20" s="114">
        <v>1.05</v>
      </c>
      <c r="G20" s="53">
        <v>0</v>
      </c>
      <c r="H20" s="69">
        <f t="shared" si="6"/>
        <v>574.35</v>
      </c>
      <c r="I20" s="127">
        <f t="shared" si="0"/>
        <v>925.65</v>
      </c>
      <c r="J20" s="70">
        <f t="shared" si="1"/>
        <v>0.61709999999999998</v>
      </c>
      <c r="K20" s="69">
        <f t="shared" si="7"/>
        <v>1050</v>
      </c>
      <c r="L20" s="127">
        <f t="shared" si="2"/>
        <v>450</v>
      </c>
      <c r="M20" s="85">
        <f t="shared" si="3"/>
        <v>0.3</v>
      </c>
      <c r="N20" s="117" t="s">
        <v>121</v>
      </c>
      <c r="O20" s="117"/>
    </row>
    <row r="21" spans="1:15" x14ac:dyDescent="0.2">
      <c r="A21" s="54">
        <v>38740</v>
      </c>
      <c r="B21" s="52" t="s">
        <v>139</v>
      </c>
      <c r="C21" s="52">
        <v>20</v>
      </c>
      <c r="D21" s="52">
        <v>2000</v>
      </c>
      <c r="E21" s="53">
        <v>0</v>
      </c>
      <c r="F21" s="114">
        <v>0</v>
      </c>
      <c r="G21" s="53">
        <v>0</v>
      </c>
      <c r="H21" s="69">
        <f t="shared" si="6"/>
        <v>0</v>
      </c>
      <c r="I21" s="127">
        <f t="shared" si="0"/>
        <v>2000</v>
      </c>
      <c r="J21" s="70">
        <f t="shared" si="1"/>
        <v>1</v>
      </c>
      <c r="K21" s="69">
        <f t="shared" si="7"/>
        <v>0</v>
      </c>
      <c r="L21" s="127">
        <f t="shared" si="2"/>
        <v>2000</v>
      </c>
      <c r="M21" s="85">
        <f t="shared" si="3"/>
        <v>1</v>
      </c>
      <c r="N21" s="117" t="s">
        <v>140</v>
      </c>
      <c r="O21" s="117" t="s">
        <v>142</v>
      </c>
    </row>
    <row r="22" spans="1:15" x14ac:dyDescent="0.2">
      <c r="A22" s="54">
        <v>38797</v>
      </c>
      <c r="B22" s="52" t="s">
        <v>138</v>
      </c>
      <c r="C22" s="52">
        <v>13</v>
      </c>
      <c r="D22" s="52">
        <v>2000</v>
      </c>
      <c r="E22" s="53">
        <v>0</v>
      </c>
      <c r="F22" s="114">
        <v>0</v>
      </c>
      <c r="G22" s="53">
        <v>0</v>
      </c>
      <c r="H22" s="69">
        <f t="shared" si="6"/>
        <v>0</v>
      </c>
      <c r="I22" s="127">
        <f t="shared" si="0"/>
        <v>2000</v>
      </c>
      <c r="J22" s="70">
        <f t="shared" si="1"/>
        <v>1</v>
      </c>
      <c r="K22" s="69">
        <f t="shared" si="7"/>
        <v>0</v>
      </c>
      <c r="L22" s="127">
        <f t="shared" si="2"/>
        <v>2000</v>
      </c>
      <c r="M22" s="85">
        <f t="shared" si="3"/>
        <v>1</v>
      </c>
      <c r="N22" s="117" t="s">
        <v>121</v>
      </c>
      <c r="O22" s="117"/>
    </row>
    <row r="23" spans="1:15" x14ac:dyDescent="0.2">
      <c r="A23" s="54"/>
      <c r="B23" s="52"/>
      <c r="C23" s="52"/>
      <c r="D23" s="52"/>
      <c r="E23" s="53"/>
      <c r="F23" s="114"/>
      <c r="G23" s="53"/>
      <c r="H23" s="69" t="str">
        <f t="shared" si="6"/>
        <v/>
      </c>
      <c r="I23" s="127" t="str">
        <f t="shared" si="0"/>
        <v/>
      </c>
      <c r="J23" s="70" t="str">
        <f t="shared" si="1"/>
        <v/>
      </c>
      <c r="K23" s="69" t="str">
        <f t="shared" si="7"/>
        <v/>
      </c>
      <c r="L23" s="127" t="str">
        <f t="shared" si="2"/>
        <v/>
      </c>
      <c r="M23" s="85" t="str">
        <f t="shared" si="3"/>
        <v/>
      </c>
      <c r="N23" s="117"/>
      <c r="O23" s="117"/>
    </row>
    <row r="24" spans="1:15" x14ac:dyDescent="0.2">
      <c r="A24" s="54"/>
      <c r="B24" s="52"/>
      <c r="C24" s="52"/>
      <c r="D24" s="52"/>
      <c r="E24" s="53"/>
      <c r="F24" s="114"/>
      <c r="G24" s="53"/>
      <c r="H24" s="69" t="str">
        <f t="shared" si="6"/>
        <v/>
      </c>
      <c r="I24" s="127" t="str">
        <f t="shared" si="0"/>
        <v/>
      </c>
      <c r="J24" s="70" t="str">
        <f t="shared" si="1"/>
        <v/>
      </c>
      <c r="K24" s="69" t="str">
        <f t="shared" si="7"/>
        <v/>
      </c>
      <c r="L24" s="127" t="str">
        <f t="shared" si="2"/>
        <v/>
      </c>
      <c r="M24" s="85" t="str">
        <f t="shared" si="3"/>
        <v/>
      </c>
      <c r="N24" s="117"/>
      <c r="O24" s="117"/>
    </row>
    <row r="25" spans="1:15" x14ac:dyDescent="0.2">
      <c r="A25" s="54"/>
      <c r="B25" s="52"/>
      <c r="C25" s="52"/>
      <c r="D25" s="52"/>
      <c r="E25" s="53"/>
      <c r="F25" s="114"/>
      <c r="G25" s="53"/>
      <c r="H25" s="69" t="str">
        <f t="shared" si="6"/>
        <v/>
      </c>
      <c r="I25" s="127" t="str">
        <f t="shared" si="0"/>
        <v/>
      </c>
      <c r="J25" s="70" t="str">
        <f t="shared" si="1"/>
        <v/>
      </c>
      <c r="K25" s="69" t="str">
        <f t="shared" si="7"/>
        <v/>
      </c>
      <c r="L25" s="127" t="str">
        <f t="shared" si="2"/>
        <v/>
      </c>
      <c r="M25" s="85" t="str">
        <f t="shared" si="3"/>
        <v/>
      </c>
      <c r="N25" s="117"/>
      <c r="O25" s="117"/>
    </row>
    <row r="26" spans="1:15" x14ac:dyDescent="0.2">
      <c r="A26" s="54"/>
      <c r="B26" s="52"/>
      <c r="C26" s="52"/>
      <c r="D26" s="52"/>
      <c r="E26" s="53"/>
      <c r="F26" s="114"/>
      <c r="G26" s="53"/>
      <c r="H26" s="69" t="str">
        <f t="shared" si="6"/>
        <v/>
      </c>
      <c r="I26" s="127" t="str">
        <f t="shared" si="0"/>
        <v/>
      </c>
      <c r="J26" s="70" t="str">
        <f t="shared" si="1"/>
        <v/>
      </c>
      <c r="K26" s="69" t="str">
        <f t="shared" si="7"/>
        <v/>
      </c>
      <c r="L26" s="127" t="str">
        <f t="shared" si="2"/>
        <v/>
      </c>
      <c r="M26" s="85" t="str">
        <f t="shared" si="3"/>
        <v/>
      </c>
      <c r="N26" s="117"/>
      <c r="O26" s="117"/>
    </row>
    <row r="27" spans="1:15" x14ac:dyDescent="0.2">
      <c r="A27" s="54"/>
      <c r="B27" s="52"/>
      <c r="C27" s="52"/>
      <c r="D27" s="52"/>
      <c r="E27" s="53"/>
      <c r="F27" s="114"/>
      <c r="G27" s="53"/>
      <c r="H27" s="69" t="str">
        <f t="shared" si="6"/>
        <v/>
      </c>
      <c r="I27" s="127" t="str">
        <f t="shared" si="0"/>
        <v/>
      </c>
      <c r="J27" s="70" t="str">
        <f t="shared" si="1"/>
        <v/>
      </c>
      <c r="K27" s="69" t="str">
        <f t="shared" si="7"/>
        <v/>
      </c>
      <c r="L27" s="127" t="str">
        <f t="shared" si="2"/>
        <v/>
      </c>
      <c r="M27" s="85" t="str">
        <f t="shared" si="3"/>
        <v/>
      </c>
      <c r="N27" s="117"/>
      <c r="O27" s="117"/>
    </row>
    <row r="28" spans="1:15" x14ac:dyDescent="0.2">
      <c r="A28" s="54"/>
      <c r="B28" s="52"/>
      <c r="C28" s="52"/>
      <c r="D28" s="52"/>
      <c r="E28" s="53"/>
      <c r="F28" s="114"/>
      <c r="G28" s="53"/>
      <c r="H28" s="69" t="str">
        <f t="shared" si="6"/>
        <v/>
      </c>
      <c r="I28" s="127" t="str">
        <f t="shared" si="0"/>
        <v/>
      </c>
      <c r="J28" s="70" t="str">
        <f t="shared" si="1"/>
        <v/>
      </c>
      <c r="K28" s="69" t="str">
        <f t="shared" si="7"/>
        <v/>
      </c>
      <c r="L28" s="127" t="str">
        <f t="shared" si="2"/>
        <v/>
      </c>
      <c r="M28" s="85" t="str">
        <f t="shared" si="3"/>
        <v/>
      </c>
      <c r="N28" s="117"/>
      <c r="O28" s="117"/>
    </row>
    <row r="29" spans="1:15" x14ac:dyDescent="0.2">
      <c r="A29" s="54"/>
      <c r="B29" s="52"/>
      <c r="C29" s="52"/>
      <c r="D29" s="52"/>
      <c r="E29" s="53"/>
      <c r="F29" s="114"/>
      <c r="G29" s="53"/>
      <c r="H29" s="69" t="str">
        <f t="shared" si="6"/>
        <v/>
      </c>
      <c r="I29" s="127" t="str">
        <f t="shared" si="0"/>
        <v/>
      </c>
      <c r="J29" s="70" t="str">
        <f t="shared" si="1"/>
        <v/>
      </c>
      <c r="K29" s="69" t="str">
        <f t="shared" si="7"/>
        <v/>
      </c>
      <c r="L29" s="127" t="str">
        <f t="shared" si="2"/>
        <v/>
      </c>
      <c r="M29" s="85" t="str">
        <f t="shared" si="3"/>
        <v/>
      </c>
      <c r="N29" s="117"/>
      <c r="O29" s="117"/>
    </row>
    <row r="30" spans="1:15" ht="13.5" thickBot="1" x14ac:dyDescent="0.25">
      <c r="A30" s="135"/>
      <c r="B30" s="55"/>
      <c r="C30" s="55"/>
      <c r="D30" s="55"/>
      <c r="E30" s="56"/>
      <c r="F30" s="116"/>
      <c r="G30" s="56"/>
      <c r="H30" s="71" t="str">
        <f t="shared" si="6"/>
        <v/>
      </c>
      <c r="I30" s="128" t="str">
        <f t="shared" si="0"/>
        <v/>
      </c>
      <c r="J30" s="72" t="str">
        <f t="shared" si="1"/>
        <v/>
      </c>
      <c r="K30" s="71" t="str">
        <f t="shared" si="7"/>
        <v/>
      </c>
      <c r="L30" s="130" t="str">
        <f t="shared" si="2"/>
        <v/>
      </c>
      <c r="M30" s="131" t="str">
        <f t="shared" si="3"/>
        <v/>
      </c>
      <c r="N30" s="117"/>
      <c r="O30" s="117"/>
    </row>
    <row r="31" spans="1:15" ht="3" customHeight="1" x14ac:dyDescent="0.2"/>
    <row r="32" spans="1:15" x14ac:dyDescent="0.2">
      <c r="A32" s="35"/>
      <c r="B32" s="36" t="s">
        <v>35</v>
      </c>
      <c r="I32" s="133" t="s">
        <v>87</v>
      </c>
      <c r="J32" s="134">
        <f>AVERAGE(J2)</f>
        <v>-0.34456140350877196</v>
      </c>
      <c r="L32" s="133" t="s">
        <v>87</v>
      </c>
      <c r="M32" s="134">
        <f>AVERAGE(M2)</f>
        <v>-1.4561403508771931</v>
      </c>
    </row>
    <row r="33" spans="1:13" x14ac:dyDescent="0.2">
      <c r="A33" s="194" t="s">
        <v>133</v>
      </c>
      <c r="B33" s="195"/>
      <c r="C33" s="1">
        <v>6</v>
      </c>
      <c r="I33" s="133" t="s">
        <v>88</v>
      </c>
      <c r="J33" s="134">
        <f>AVERAGE(J3:J4)</f>
        <v>0.23240234008891558</v>
      </c>
      <c r="L33" s="133" t="s">
        <v>88</v>
      </c>
      <c r="M33" s="134">
        <f>AVERAGE(M3:M4)</f>
        <v>-0.33210504716522415</v>
      </c>
    </row>
    <row r="34" spans="1:13" x14ac:dyDescent="0.2">
      <c r="A34" s="194" t="s">
        <v>136</v>
      </c>
      <c r="B34" s="195"/>
      <c r="C34" s="1">
        <v>2</v>
      </c>
      <c r="I34" s="133" t="s">
        <v>89</v>
      </c>
      <c r="J34" s="134">
        <f>AVERAGE(J5:J13)</f>
        <v>0.46947102745689256</v>
      </c>
      <c r="L34" s="133" t="s">
        <v>89</v>
      </c>
      <c r="M34" s="134">
        <f>AVERAGE(M5:M13)</f>
        <v>7.9344080383749946E-2</v>
      </c>
    </row>
    <row r="35" spans="1:13" x14ac:dyDescent="0.2">
      <c r="L35" s="133" t="s">
        <v>134</v>
      </c>
      <c r="M35" s="134">
        <f>AVERAGE(M17:M18)</f>
        <v>-6.0961309523809473E-2</v>
      </c>
    </row>
    <row r="36" spans="1:13" x14ac:dyDescent="0.2">
      <c r="L36" s="133" t="s">
        <v>141</v>
      </c>
      <c r="M36" s="134">
        <f>AVERAGE(M20:M22)</f>
        <v>0.76666666666666661</v>
      </c>
    </row>
  </sheetData>
  <mergeCells count="2">
    <mergeCell ref="A33:B33"/>
    <mergeCell ref="A34:B34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6"/>
  <sheetViews>
    <sheetView zoomScale="85" workbookViewId="0">
      <pane ySplit="2" topLeftCell="A3" activePane="bottomLeft" state="frozenSplit"/>
      <selection pane="bottomLeft" activeCell="H38" sqref="H38"/>
    </sheetView>
  </sheetViews>
  <sheetFormatPr baseColWidth="10" defaultRowHeight="12.75" x14ac:dyDescent="0.2"/>
  <cols>
    <col min="1" max="1" width="14.7109375" style="1" customWidth="1"/>
    <col min="2" max="2" width="31.28515625" style="1" bestFit="1" customWidth="1"/>
    <col min="3" max="3" width="11.85546875" style="1" customWidth="1"/>
    <col min="4" max="4" width="12.7109375" style="1" customWidth="1"/>
    <col min="5" max="5" width="12.85546875" style="1" customWidth="1"/>
    <col min="6" max="6" width="12.42578125" style="1" customWidth="1"/>
    <col min="7" max="8" width="12.85546875" style="1" customWidth="1"/>
    <col min="9" max="9" width="17.140625" style="1" customWidth="1"/>
    <col min="10" max="10" width="30.5703125" style="169" customWidth="1"/>
    <col min="11" max="11" width="11.42578125" style="1"/>
    <col min="12" max="12" width="14" style="1" bestFit="1" customWidth="1"/>
    <col min="13" max="13" width="10.7109375" style="1" bestFit="1" customWidth="1"/>
    <col min="14" max="14" width="10.28515625" style="1" bestFit="1" customWidth="1"/>
    <col min="15" max="15" width="11.28515625" style="1" bestFit="1" customWidth="1"/>
    <col min="16" max="17" width="3.140625" style="1" bestFit="1" customWidth="1"/>
    <col min="18" max="20" width="4.140625" style="1" bestFit="1" customWidth="1"/>
    <col min="21" max="21" width="3.140625" style="1" bestFit="1" customWidth="1"/>
    <col min="22" max="23" width="4.140625" style="1" bestFit="1" customWidth="1"/>
    <col min="24" max="24" width="10.28515625" style="1" bestFit="1" customWidth="1"/>
    <col min="25" max="25" width="9.7109375" style="1" bestFit="1" customWidth="1"/>
    <col min="26" max="37" width="4.7109375" style="1" customWidth="1"/>
    <col min="38" max="38" width="10.28515625" style="1" bestFit="1" customWidth="1"/>
    <col min="39" max="39" width="11.28515625" style="1" bestFit="1" customWidth="1"/>
    <col min="40" max="48" width="4.7109375" style="1" customWidth="1"/>
    <col min="49" max="49" width="10.28515625" style="1" bestFit="1" customWidth="1"/>
    <col min="50" max="50" width="9" style="1" bestFit="1" customWidth="1"/>
    <col min="51" max="63" width="4.7109375" style="1" customWidth="1"/>
    <col min="64" max="64" width="10.28515625" style="1" bestFit="1" customWidth="1"/>
    <col min="65" max="65" width="9" style="1" bestFit="1" customWidth="1"/>
    <col min="66" max="68" width="4.7109375" style="1" customWidth="1"/>
    <col min="69" max="69" width="10.28515625" style="1" bestFit="1" customWidth="1"/>
    <col min="70" max="70" width="6.5703125" style="1" bestFit="1" customWidth="1"/>
    <col min="71" max="74" width="4.7109375" style="1" customWidth="1"/>
    <col min="75" max="75" width="10.28515625" style="1" bestFit="1" customWidth="1"/>
    <col min="76" max="76" width="12.28515625" style="1" bestFit="1" customWidth="1"/>
    <col min="77" max="80" width="4.7109375" style="1" customWidth="1"/>
    <col min="81" max="81" width="10.28515625" style="1" bestFit="1" customWidth="1"/>
    <col min="82" max="82" width="12.28515625" style="1" bestFit="1" customWidth="1"/>
    <col min="83" max="91" width="4.7109375" style="1" customWidth="1"/>
    <col min="92" max="92" width="10.28515625" style="1" bestFit="1" customWidth="1"/>
    <col min="93" max="93" width="12.28515625" style="1" bestFit="1" customWidth="1"/>
    <col min="94" max="105" width="4.7109375" style="1" customWidth="1"/>
    <col min="106" max="16384" width="11.42578125" style="1"/>
  </cols>
  <sheetData>
    <row r="1" spans="1:105" ht="14.25" customHeight="1" x14ac:dyDescent="0.2">
      <c r="A1" s="199" t="s">
        <v>0</v>
      </c>
      <c r="B1" s="201" t="s">
        <v>3</v>
      </c>
      <c r="C1" s="203" t="s">
        <v>95</v>
      </c>
      <c r="D1" s="173" t="s">
        <v>100</v>
      </c>
      <c r="E1" s="196"/>
      <c r="F1" s="196"/>
      <c r="G1" s="174"/>
      <c r="H1" s="205" t="s">
        <v>127</v>
      </c>
      <c r="I1" s="197" t="s">
        <v>94</v>
      </c>
      <c r="J1" s="195"/>
    </row>
    <row r="2" spans="1:105" ht="41.25" customHeight="1" thickBot="1" x14ac:dyDescent="0.25">
      <c r="A2" s="200"/>
      <c r="B2" s="202"/>
      <c r="C2" s="200"/>
      <c r="D2" s="145" t="s">
        <v>96</v>
      </c>
      <c r="E2" s="136" t="s">
        <v>97</v>
      </c>
      <c r="F2" s="136" t="s">
        <v>98</v>
      </c>
      <c r="G2" s="144" t="s">
        <v>99</v>
      </c>
      <c r="H2" s="206"/>
      <c r="I2" s="198"/>
      <c r="J2" s="195"/>
    </row>
    <row r="3" spans="1:105" x14ac:dyDescent="0.2">
      <c r="A3" s="138" t="s">
        <v>68</v>
      </c>
      <c r="B3" s="138">
        <v>7</v>
      </c>
      <c r="C3" s="138">
        <v>4</v>
      </c>
      <c r="D3" s="137" t="s">
        <v>78</v>
      </c>
      <c r="E3" s="137" t="s">
        <v>78</v>
      </c>
      <c r="F3" s="137" t="s">
        <v>78</v>
      </c>
      <c r="G3" s="137" t="s">
        <v>78</v>
      </c>
      <c r="H3" s="163"/>
      <c r="I3" s="143" t="str">
        <f>'Formations réalisées'!N2</f>
        <v>inter et intra cumulé</v>
      </c>
      <c r="J3" s="166" t="str">
        <f>'Formations réalisées'!O2</f>
        <v>(-location -repas)</v>
      </c>
    </row>
    <row r="4" spans="1:105" x14ac:dyDescent="0.2">
      <c r="A4" s="139" t="s">
        <v>11</v>
      </c>
      <c r="B4" s="140">
        <v>5</v>
      </c>
      <c r="C4" s="140">
        <v>12</v>
      </c>
      <c r="D4" s="159">
        <f>(90+90+80+90+70+80+90+95+60+99+90+80)/12</f>
        <v>84.5</v>
      </c>
      <c r="E4" s="159">
        <f>(90+90+70+90+80+80+80+100+60+99+80+75)/12</f>
        <v>82.833333333333329</v>
      </c>
      <c r="F4" s="113">
        <f>(90+90+80+90+60+80+90+100+60+100+90+90)/12</f>
        <v>85</v>
      </c>
      <c r="G4" s="113">
        <f>(95+90+80+90+75+80+90+95+60+99.99+85+90)/12</f>
        <v>85.832499999999996</v>
      </c>
      <c r="H4" s="146">
        <f>IF(D4=0,"",AVERAGE(D4:G4))</f>
        <v>84.541458333333324</v>
      </c>
      <c r="I4" s="143" t="str">
        <f>'Formations réalisées'!N3</f>
        <v>inter et intra cumulé</v>
      </c>
      <c r="J4" s="166" t="str">
        <f>'Formations réalisées'!O3</f>
        <v>(-location -repas)</v>
      </c>
    </row>
    <row r="5" spans="1:105" x14ac:dyDescent="0.2">
      <c r="A5" s="141" t="str">
        <f>'Formations réalisées'!A4</f>
        <v>2-3/12/2003</v>
      </c>
      <c r="B5" s="141" t="str">
        <f>'Formations réalisées'!B4</f>
        <v>Management Qualité</v>
      </c>
      <c r="C5" s="141">
        <f>'Formations réalisées'!C4</f>
        <v>5</v>
      </c>
      <c r="D5" s="114" t="s">
        <v>78</v>
      </c>
      <c r="E5" s="114" t="s">
        <v>78</v>
      </c>
      <c r="F5" s="114" t="s">
        <v>78</v>
      </c>
      <c r="G5" s="114" t="s">
        <v>78</v>
      </c>
      <c r="H5" s="146"/>
      <c r="I5" s="143" t="str">
        <f>'Formations réalisées'!N4</f>
        <v>inter (GM+FAN)</v>
      </c>
      <c r="J5" s="166" t="str">
        <f>'Formations réalisées'!O4</f>
        <v>(location+repas+pauses:1360) +V Coste (Cardialpha)</v>
      </c>
    </row>
    <row r="6" spans="1:105" x14ac:dyDescent="0.2">
      <c r="A6" s="142">
        <f>'Formations réalisées'!A5</f>
        <v>37994</v>
      </c>
      <c r="B6" s="141" t="str">
        <f>'Formations réalisées'!B5</f>
        <v>Secrétaires</v>
      </c>
      <c r="C6" s="141">
        <f>'Formations réalisées'!C5</f>
        <v>6</v>
      </c>
      <c r="D6" s="114">
        <f>(90+80+95+85+100)/5</f>
        <v>90</v>
      </c>
      <c r="E6" s="114">
        <f>(100+80+100+100+80)/5</f>
        <v>92</v>
      </c>
      <c r="F6" s="114">
        <f>(90+80+100+90+100)/5</f>
        <v>92</v>
      </c>
      <c r="G6" s="114">
        <f>(90+90+100+90+100)/5</f>
        <v>94</v>
      </c>
      <c r="H6" s="146">
        <f t="shared" ref="H6:H31" si="0">IF(D6=0,"",AVERAGE(D6:G6))</f>
        <v>92</v>
      </c>
      <c r="I6" s="143" t="str">
        <f>'Formations réalisées'!N5</f>
        <v>inter (FAN)</v>
      </c>
      <c r="J6" s="167" t="str">
        <f>'Formations réalisées'!O5</f>
        <v>+Manuela</v>
      </c>
    </row>
    <row r="7" spans="1:105" x14ac:dyDescent="0.2">
      <c r="A7" s="141" t="str">
        <f>'Formations réalisées'!A6</f>
        <v>15-16/01/2004</v>
      </c>
      <c r="B7" s="141" t="str">
        <f>'Formations réalisées'!B6</f>
        <v>Savoir-faire Audit</v>
      </c>
      <c r="C7" s="141">
        <f>'Formations réalisées'!C6</f>
        <v>5</v>
      </c>
      <c r="D7" s="114">
        <f>(100+100+95+95+100)/5</f>
        <v>98</v>
      </c>
      <c r="E7" s="114">
        <f>(100+100+95+95+100)/5</f>
        <v>98</v>
      </c>
      <c r="F7" s="114">
        <f>(100+100+95+95+100)/5</f>
        <v>98</v>
      </c>
      <c r="G7" s="114">
        <f>(100+100+95+95+100)/5</f>
        <v>98</v>
      </c>
      <c r="H7" s="146">
        <f t="shared" si="0"/>
        <v>98</v>
      </c>
      <c r="I7" s="143" t="str">
        <f>'Formations réalisées'!N6</f>
        <v>inter (FAN)</v>
      </c>
      <c r="J7" s="167" t="str">
        <f>'Formations réalisées'!O6</f>
        <v>+Mélanie et Sandra</v>
      </c>
    </row>
    <row r="8" spans="1:105" x14ac:dyDescent="0.2">
      <c r="A8" s="142">
        <f>'Formations réalisées'!A7</f>
        <v>38009</v>
      </c>
      <c r="B8" s="141" t="str">
        <f>'Formations réalisées'!B7</f>
        <v>Projet Loi Huriet NAXIS</v>
      </c>
      <c r="C8" s="141" t="str">
        <f>'Formations réalisées'!C7</f>
        <v>-</v>
      </c>
      <c r="D8" s="114" t="s">
        <v>78</v>
      </c>
      <c r="E8" s="114" t="s">
        <v>78</v>
      </c>
      <c r="F8" s="114" t="s">
        <v>78</v>
      </c>
      <c r="G8" s="114" t="s">
        <v>78</v>
      </c>
      <c r="H8" s="146"/>
      <c r="I8" s="143" t="str">
        <f>'Formations réalisées'!N7</f>
        <v>intra (GM)</v>
      </c>
      <c r="J8" s="166" t="str">
        <f>'Formations réalisées'!O7</f>
        <v>temps approx</v>
      </c>
    </row>
    <row r="9" spans="1:105" x14ac:dyDescent="0.2">
      <c r="A9" s="142">
        <f>'Formations réalisées'!A8</f>
        <v>38020</v>
      </c>
      <c r="B9" s="141" t="str">
        <f>'Formations réalisées'!B8</f>
        <v>Projet Loi Huriet MAPI</v>
      </c>
      <c r="C9" s="141" t="str">
        <f>'Formations réalisées'!C8</f>
        <v>-</v>
      </c>
      <c r="D9" s="114" t="s">
        <v>78</v>
      </c>
      <c r="E9" s="114" t="s">
        <v>78</v>
      </c>
      <c r="F9" s="114" t="s">
        <v>78</v>
      </c>
      <c r="G9" s="114" t="s">
        <v>78</v>
      </c>
      <c r="H9" s="146"/>
      <c r="I9" s="143" t="str">
        <f>'Formations réalisées'!N8</f>
        <v>intra (GM)</v>
      </c>
      <c r="J9" s="166" t="str">
        <f>'Formations réalisées'!O8</f>
        <v>temps approx</v>
      </c>
      <c r="N9" s="147">
        <v>38079</v>
      </c>
      <c r="O9" s="1" t="s">
        <v>109</v>
      </c>
      <c r="X9" s="147">
        <v>38079</v>
      </c>
      <c r="Y9" s="1" t="s">
        <v>108</v>
      </c>
      <c r="AL9" s="147">
        <v>38076</v>
      </c>
      <c r="AM9" s="1" t="s">
        <v>109</v>
      </c>
      <c r="AW9" s="147">
        <v>38072</v>
      </c>
      <c r="AX9" s="1" t="s">
        <v>110</v>
      </c>
      <c r="BL9" s="147">
        <v>38071</v>
      </c>
      <c r="BM9" s="1" t="s">
        <v>111</v>
      </c>
      <c r="BQ9" s="147">
        <v>38071</v>
      </c>
      <c r="BR9" s="1" t="s">
        <v>112</v>
      </c>
      <c r="BW9" s="147">
        <v>38064</v>
      </c>
      <c r="BX9" s="1" t="s">
        <v>113</v>
      </c>
      <c r="CC9" s="147">
        <v>38061</v>
      </c>
      <c r="CD9" s="1" t="s">
        <v>114</v>
      </c>
      <c r="CN9" s="147">
        <v>38076</v>
      </c>
      <c r="CO9" s="1" t="s">
        <v>116</v>
      </c>
      <c r="CP9" s="1" t="s">
        <v>115</v>
      </c>
    </row>
    <row r="10" spans="1:105" x14ac:dyDescent="0.2">
      <c r="A10" s="142">
        <f>'Formations réalisées'!A9</f>
        <v>38065</v>
      </c>
      <c r="B10" s="141" t="str">
        <f>'Formations réalisées'!B9</f>
        <v>Projet Loi Huriet Novo Nordisk</v>
      </c>
      <c r="C10" s="141" t="str">
        <f>'Formations réalisées'!C9</f>
        <v>-</v>
      </c>
      <c r="D10" s="114" t="s">
        <v>78</v>
      </c>
      <c r="E10" s="114" t="s">
        <v>78</v>
      </c>
      <c r="F10" s="114" t="s">
        <v>78</v>
      </c>
      <c r="G10" s="114" t="s">
        <v>78</v>
      </c>
      <c r="H10" s="146"/>
      <c r="I10" s="143" t="str">
        <f>'Formations réalisées'!N9</f>
        <v>intra (GM)</v>
      </c>
      <c r="J10" s="166" t="str">
        <f>'Formations réalisées'!O9</f>
        <v>temps approx</v>
      </c>
      <c r="M10" s="1" t="s">
        <v>104</v>
      </c>
      <c r="N10" s="1">
        <v>90</v>
      </c>
      <c r="O10" s="1">
        <v>100</v>
      </c>
      <c r="P10" s="1">
        <v>80</v>
      </c>
      <c r="Q10" s="1">
        <v>80</v>
      </c>
      <c r="R10" s="1">
        <v>100</v>
      </c>
      <c r="S10" s="1">
        <v>100</v>
      </c>
      <c r="T10" s="1">
        <v>100</v>
      </c>
      <c r="U10" s="1">
        <v>90</v>
      </c>
      <c r="V10" s="1">
        <v>100</v>
      </c>
      <c r="W10" s="1">
        <v>100</v>
      </c>
      <c r="X10" s="1">
        <v>100</v>
      </c>
      <c r="Y10" s="1">
        <v>100</v>
      </c>
      <c r="Z10" s="1">
        <v>100</v>
      </c>
      <c r="AA10" s="1">
        <v>80</v>
      </c>
      <c r="AB10" s="1">
        <v>75</v>
      </c>
      <c r="AC10" s="1">
        <v>80</v>
      </c>
      <c r="AD10" s="1">
        <v>80</v>
      </c>
      <c r="AE10" s="1">
        <v>80</v>
      </c>
      <c r="AF10" s="1">
        <v>90</v>
      </c>
      <c r="AG10" s="1">
        <v>100</v>
      </c>
      <c r="AH10" s="1">
        <v>100</v>
      </c>
      <c r="AI10" s="1">
        <v>70</v>
      </c>
      <c r="AJ10" s="1">
        <v>80</v>
      </c>
      <c r="AK10" s="1">
        <v>100</v>
      </c>
      <c r="AL10" s="1">
        <v>90</v>
      </c>
      <c r="AM10" s="1">
        <v>99</v>
      </c>
      <c r="AN10" s="1">
        <v>80</v>
      </c>
      <c r="AO10" s="1">
        <v>90</v>
      </c>
      <c r="AP10" s="1">
        <v>80</v>
      </c>
      <c r="AQ10" s="1">
        <v>95</v>
      </c>
      <c r="AR10" s="1">
        <v>90</v>
      </c>
      <c r="AS10" s="1">
        <v>80</v>
      </c>
      <c r="AT10" s="1">
        <v>80</v>
      </c>
      <c r="AU10" s="1">
        <v>90</v>
      </c>
      <c r="AV10" s="1">
        <v>90</v>
      </c>
      <c r="AW10" s="1">
        <v>75</v>
      </c>
      <c r="AX10" s="1">
        <v>90</v>
      </c>
      <c r="AY10" s="1">
        <v>90</v>
      </c>
      <c r="AZ10" s="1">
        <v>90</v>
      </c>
      <c r="BA10" s="1">
        <v>90</v>
      </c>
      <c r="BB10" s="1">
        <v>90</v>
      </c>
      <c r="BC10" s="1">
        <v>80</v>
      </c>
      <c r="BD10" s="1">
        <v>100</v>
      </c>
      <c r="BE10" s="1">
        <v>100</v>
      </c>
      <c r="BF10" s="1">
        <v>90</v>
      </c>
      <c r="BG10" s="1">
        <v>90</v>
      </c>
      <c r="BH10" s="1">
        <v>100</v>
      </c>
      <c r="BI10" s="1">
        <v>90</v>
      </c>
      <c r="BJ10" s="1">
        <v>90</v>
      </c>
      <c r="BK10" s="1">
        <v>100</v>
      </c>
      <c r="BL10" s="1">
        <v>80</v>
      </c>
      <c r="BM10" s="1">
        <v>80</v>
      </c>
      <c r="BN10" s="1">
        <v>100</v>
      </c>
      <c r="BO10" s="1">
        <v>100</v>
      </c>
      <c r="BP10" s="1">
        <v>100</v>
      </c>
      <c r="BQ10" s="1">
        <v>100</v>
      </c>
      <c r="BR10" s="1">
        <v>100</v>
      </c>
      <c r="BS10" s="1">
        <v>100</v>
      </c>
      <c r="BT10" s="1">
        <v>95</v>
      </c>
      <c r="BU10" s="1">
        <v>80</v>
      </c>
      <c r="BV10" s="1">
        <v>100</v>
      </c>
      <c r="BW10" s="1">
        <v>80</v>
      </c>
      <c r="BX10" s="1">
        <v>99.9</v>
      </c>
      <c r="BY10" s="1">
        <v>100</v>
      </c>
      <c r="BZ10" s="1">
        <v>90</v>
      </c>
      <c r="CA10" s="1">
        <v>90</v>
      </c>
      <c r="CB10" s="1">
        <v>80</v>
      </c>
      <c r="CC10" s="1">
        <v>80</v>
      </c>
      <c r="CD10" s="1">
        <v>75</v>
      </c>
      <c r="CE10" s="1">
        <v>90</v>
      </c>
      <c r="CF10" s="1">
        <v>80</v>
      </c>
      <c r="CG10" s="1">
        <v>100</v>
      </c>
      <c r="CH10" s="1">
        <v>80</v>
      </c>
      <c r="CI10" s="1">
        <v>60</v>
      </c>
      <c r="CJ10" s="1">
        <v>65</v>
      </c>
      <c r="CK10" s="1">
        <v>100</v>
      </c>
      <c r="CL10" s="1">
        <v>90</v>
      </c>
      <c r="CM10" s="1">
        <v>100</v>
      </c>
      <c r="CN10" s="1">
        <v>60</v>
      </c>
      <c r="CO10" s="1">
        <v>90</v>
      </c>
      <c r="CP10" s="1">
        <v>90</v>
      </c>
      <c r="CQ10" s="1">
        <v>80</v>
      </c>
      <c r="CR10" s="1">
        <v>90</v>
      </c>
      <c r="CS10" s="1">
        <v>100</v>
      </c>
      <c r="CT10" s="1">
        <v>100</v>
      </c>
      <c r="CU10" s="1">
        <v>70</v>
      </c>
      <c r="CV10" s="1">
        <v>100</v>
      </c>
      <c r="CW10" s="1">
        <v>100</v>
      </c>
      <c r="CX10" s="1">
        <v>100</v>
      </c>
      <c r="CY10" s="1">
        <v>80</v>
      </c>
      <c r="CZ10" s="1">
        <v>80</v>
      </c>
      <c r="DA10" s="1">
        <v>90</v>
      </c>
    </row>
    <row r="11" spans="1:105" x14ac:dyDescent="0.2">
      <c r="A11" s="142" t="str">
        <f>'Formations réalisées'!A10</f>
        <v>02-03-04/2004</v>
      </c>
      <c r="B11" s="141" t="str">
        <f>'Formations réalisées'!B10</f>
        <v>Projet Loi Huriet Pfizer</v>
      </c>
      <c r="C11" s="141">
        <v>92</v>
      </c>
      <c r="D11" s="114">
        <v>89.4</v>
      </c>
      <c r="E11" s="114">
        <v>85</v>
      </c>
      <c r="F11" s="114">
        <v>87</v>
      </c>
      <c r="G11" s="114">
        <v>86.4</v>
      </c>
      <c r="H11" s="146">
        <f t="shared" si="0"/>
        <v>86.949999999999989</v>
      </c>
      <c r="I11" s="143" t="str">
        <f>'Formations réalisées'!N10</f>
        <v>intra (FAN, SD)</v>
      </c>
      <c r="J11" s="168" t="str">
        <f>IF('Formations réalisées'!O10=0,"",'Formations réalisées'!O10)</f>
        <v/>
      </c>
      <c r="L11" s="1" t="s">
        <v>103</v>
      </c>
      <c r="M11" s="1" t="s">
        <v>105</v>
      </c>
      <c r="N11" s="1">
        <v>100</v>
      </c>
      <c r="O11" s="1">
        <v>100</v>
      </c>
      <c r="P11" s="1">
        <v>80</v>
      </c>
      <c r="Q11" s="1">
        <v>80</v>
      </c>
      <c r="R11" s="1">
        <v>100</v>
      </c>
      <c r="S11" s="1">
        <v>100</v>
      </c>
      <c r="T11" s="1">
        <v>100</v>
      </c>
      <c r="U11" s="1">
        <v>90</v>
      </c>
      <c r="V11" s="1">
        <v>100</v>
      </c>
      <c r="W11" s="1">
        <v>100</v>
      </c>
      <c r="X11" s="1">
        <v>100</v>
      </c>
      <c r="Y11" s="1">
        <v>100</v>
      </c>
      <c r="Z11" s="1">
        <v>90</v>
      </c>
      <c r="AA11" s="1">
        <v>80</v>
      </c>
      <c r="AB11" s="1">
        <v>70</v>
      </c>
      <c r="AC11" s="1">
        <v>80</v>
      </c>
      <c r="AD11" s="1">
        <v>50</v>
      </c>
      <c r="AE11" s="1">
        <v>70</v>
      </c>
      <c r="AF11" s="1">
        <v>100</v>
      </c>
      <c r="AG11" s="1">
        <v>100</v>
      </c>
      <c r="AH11" s="1">
        <v>100</v>
      </c>
      <c r="AI11" s="1">
        <v>70</v>
      </c>
      <c r="AJ11" s="1">
        <v>80</v>
      </c>
      <c r="AK11" s="1">
        <v>80</v>
      </c>
      <c r="AL11" s="1">
        <v>90</v>
      </c>
      <c r="AM11" s="1">
        <v>99</v>
      </c>
      <c r="AN11" s="1">
        <v>90</v>
      </c>
      <c r="AO11" s="1">
        <v>80</v>
      </c>
      <c r="AP11" s="1">
        <v>80</v>
      </c>
      <c r="AQ11" s="1">
        <v>80</v>
      </c>
      <c r="AR11" s="1">
        <v>90</v>
      </c>
      <c r="AS11" s="1">
        <v>80</v>
      </c>
      <c r="AT11" s="1">
        <v>80</v>
      </c>
      <c r="AU11" s="1">
        <v>80</v>
      </c>
      <c r="AV11" s="1">
        <v>90</v>
      </c>
      <c r="AW11" s="1">
        <v>75</v>
      </c>
      <c r="AX11" s="1">
        <v>90</v>
      </c>
      <c r="AY11" s="1">
        <v>80</v>
      </c>
      <c r="AZ11" s="1">
        <v>90</v>
      </c>
      <c r="BA11" s="1">
        <v>90</v>
      </c>
      <c r="BB11" s="1">
        <v>90</v>
      </c>
      <c r="BC11" s="1">
        <v>80</v>
      </c>
      <c r="BD11" s="1">
        <v>100</v>
      </c>
      <c r="BE11" s="1">
        <v>100</v>
      </c>
      <c r="BF11" s="1">
        <v>90</v>
      </c>
      <c r="BG11" s="1">
        <v>80</v>
      </c>
      <c r="BH11" s="1">
        <v>100</v>
      </c>
      <c r="BI11" s="1">
        <v>80</v>
      </c>
      <c r="BJ11" s="1">
        <v>85</v>
      </c>
      <c r="BK11" s="1">
        <v>100</v>
      </c>
      <c r="BL11" s="1">
        <v>90</v>
      </c>
      <c r="BM11" s="1">
        <v>70</v>
      </c>
      <c r="BN11" s="1">
        <v>100</v>
      </c>
      <c r="BO11" s="1">
        <v>100</v>
      </c>
      <c r="BP11" s="1">
        <v>100</v>
      </c>
      <c r="BQ11" s="1">
        <v>100</v>
      </c>
      <c r="BS11" s="1">
        <v>100</v>
      </c>
      <c r="BT11" s="1">
        <v>95</v>
      </c>
      <c r="BU11" s="1">
        <v>80</v>
      </c>
      <c r="BV11" s="1">
        <v>90</v>
      </c>
      <c r="BW11" s="1">
        <v>70</v>
      </c>
      <c r="BX11" s="1">
        <v>95</v>
      </c>
      <c r="BY11" s="1">
        <v>100</v>
      </c>
      <c r="BZ11" s="1">
        <v>90</v>
      </c>
      <c r="CA11" s="1">
        <v>90</v>
      </c>
      <c r="CB11" s="1">
        <v>80</v>
      </c>
      <c r="CC11" s="1">
        <v>80</v>
      </c>
      <c r="CD11" s="1">
        <v>75</v>
      </c>
      <c r="CE11" s="1">
        <v>85</v>
      </c>
      <c r="CF11" s="1">
        <v>80</v>
      </c>
      <c r="CG11" s="1">
        <v>100</v>
      </c>
      <c r="CH11" s="1">
        <v>80</v>
      </c>
      <c r="CI11" s="1">
        <v>60</v>
      </c>
      <c r="CJ11" s="1">
        <v>50</v>
      </c>
      <c r="CK11" s="1">
        <v>80</v>
      </c>
      <c r="CL11" s="1">
        <v>90</v>
      </c>
      <c r="CM11" s="1">
        <v>100</v>
      </c>
      <c r="CN11" s="1">
        <v>50</v>
      </c>
      <c r="CO11" s="1">
        <v>70</v>
      </c>
      <c r="CP11" s="1">
        <v>50</v>
      </c>
      <c r="CQ11" s="1">
        <v>50</v>
      </c>
      <c r="CR11" s="1">
        <v>70</v>
      </c>
      <c r="CS11" s="1">
        <v>100</v>
      </c>
      <c r="CT11" s="1">
        <v>100</v>
      </c>
      <c r="CU11" s="1">
        <v>50</v>
      </c>
      <c r="CV11" s="1">
        <v>80</v>
      </c>
      <c r="CW11" s="1">
        <v>70</v>
      </c>
      <c r="CX11" s="1">
        <v>80</v>
      </c>
      <c r="CY11" s="1">
        <v>80</v>
      </c>
      <c r="CZ11" s="1">
        <v>80</v>
      </c>
      <c r="DA11" s="1">
        <v>90</v>
      </c>
    </row>
    <row r="12" spans="1:105" x14ac:dyDescent="0.2">
      <c r="A12" s="142" t="str">
        <f>'Formations réalisées'!A11</f>
        <v>29-30/04/04</v>
      </c>
      <c r="B12" s="141" t="str">
        <f>'Formations réalisées'!B11</f>
        <v>Management Qualité</v>
      </c>
      <c r="C12" s="141">
        <f>'Formations réalisées'!C11</f>
        <v>3</v>
      </c>
      <c r="D12" s="114">
        <f>(90)/1</f>
        <v>90</v>
      </c>
      <c r="E12" s="114">
        <f>(90)/1</f>
        <v>90</v>
      </c>
      <c r="F12" s="158">
        <f>(80)/1</f>
        <v>80</v>
      </c>
      <c r="G12" s="114">
        <f>(90)/1</f>
        <v>90</v>
      </c>
      <c r="H12" s="146">
        <f t="shared" si="0"/>
        <v>87.5</v>
      </c>
      <c r="I12" s="143" t="str">
        <f>'Formations réalisées'!N11</f>
        <v>inter (GM+FAN)</v>
      </c>
      <c r="J12" s="168" t="str">
        <f>IF('Formations réalisées'!O11=0,"",'Formations réalisées'!O11)</f>
        <v/>
      </c>
      <c r="M12" s="1" t="s">
        <v>106</v>
      </c>
      <c r="N12" s="1">
        <v>90</v>
      </c>
      <c r="O12" s="1">
        <v>100</v>
      </c>
      <c r="P12" s="1">
        <v>80</v>
      </c>
      <c r="Q12" s="1">
        <v>80</v>
      </c>
      <c r="R12" s="1">
        <v>100</v>
      </c>
      <c r="S12" s="1">
        <v>100</v>
      </c>
      <c r="T12" s="1">
        <v>100</v>
      </c>
      <c r="U12" s="1">
        <v>90</v>
      </c>
      <c r="V12" s="1">
        <v>100</v>
      </c>
      <c r="W12" s="1">
        <v>100</v>
      </c>
      <c r="X12" s="1">
        <v>100</v>
      </c>
      <c r="Y12" s="1">
        <v>100</v>
      </c>
      <c r="Z12" s="1">
        <v>80</v>
      </c>
      <c r="AA12" s="1">
        <v>80</v>
      </c>
      <c r="AB12" s="1">
        <v>70</v>
      </c>
      <c r="AC12" s="1">
        <v>70</v>
      </c>
      <c r="AD12" s="1">
        <v>90</v>
      </c>
      <c r="AE12" s="1">
        <v>70</v>
      </c>
      <c r="AF12" s="1">
        <v>90</v>
      </c>
      <c r="AG12" s="1">
        <v>100</v>
      </c>
      <c r="AH12" s="1">
        <v>100</v>
      </c>
      <c r="AI12" s="1">
        <v>70</v>
      </c>
      <c r="AJ12" s="1">
        <v>85</v>
      </c>
      <c r="AK12" s="1">
        <v>100</v>
      </c>
      <c r="AL12" s="1">
        <v>90</v>
      </c>
      <c r="AM12" s="1">
        <v>99</v>
      </c>
      <c r="AN12" s="1">
        <v>80</v>
      </c>
      <c r="AO12" s="1">
        <v>90</v>
      </c>
      <c r="AP12" s="1">
        <v>80</v>
      </c>
      <c r="AQ12" s="1">
        <v>95</v>
      </c>
      <c r="AR12" s="1">
        <v>90</v>
      </c>
      <c r="AS12" s="1">
        <v>80</v>
      </c>
      <c r="AT12" s="1">
        <v>100</v>
      </c>
      <c r="AU12" s="1">
        <v>90</v>
      </c>
      <c r="AV12" s="1">
        <v>95</v>
      </c>
      <c r="AW12" s="1">
        <v>75</v>
      </c>
      <c r="AX12" s="1">
        <v>100</v>
      </c>
      <c r="AY12" s="1">
        <v>90</v>
      </c>
      <c r="AZ12" s="1">
        <v>90</v>
      </c>
      <c r="BA12" s="1">
        <v>90</v>
      </c>
      <c r="BB12" s="1">
        <v>75</v>
      </c>
      <c r="BC12" s="1">
        <v>80</v>
      </c>
      <c r="BD12" s="1">
        <v>100</v>
      </c>
      <c r="BE12" s="1">
        <v>100</v>
      </c>
      <c r="BF12" s="1">
        <v>100</v>
      </c>
      <c r="BG12" s="1">
        <v>80</v>
      </c>
      <c r="BH12" s="1">
        <v>80</v>
      </c>
      <c r="BI12" s="1">
        <v>80</v>
      </c>
      <c r="BJ12" s="1">
        <v>90</v>
      </c>
      <c r="BK12" s="1">
        <v>80</v>
      </c>
      <c r="BL12" s="1">
        <v>90</v>
      </c>
      <c r="BM12" s="1">
        <v>85</v>
      </c>
      <c r="BN12" s="1">
        <v>100</v>
      </c>
      <c r="BO12" s="1">
        <v>100</v>
      </c>
      <c r="BP12" s="1">
        <v>100</v>
      </c>
      <c r="BQ12" s="1">
        <v>100</v>
      </c>
      <c r="BR12" s="1">
        <v>100</v>
      </c>
      <c r="BS12" s="1">
        <v>100</v>
      </c>
      <c r="BT12" s="1">
        <v>90</v>
      </c>
      <c r="BU12" s="1">
        <v>80</v>
      </c>
      <c r="BV12" s="1">
        <v>100</v>
      </c>
      <c r="BW12" s="1">
        <v>80</v>
      </c>
      <c r="BX12" s="1">
        <v>99.9</v>
      </c>
      <c r="BY12" s="1">
        <v>100</v>
      </c>
      <c r="BZ12" s="1">
        <v>100</v>
      </c>
      <c r="CA12" s="1">
        <v>100</v>
      </c>
      <c r="CB12" s="1">
        <v>50</v>
      </c>
      <c r="CC12" s="1">
        <v>50</v>
      </c>
      <c r="CD12" s="1">
        <v>70</v>
      </c>
      <c r="CE12" s="1">
        <v>85</v>
      </c>
      <c r="CF12" s="1">
        <v>75</v>
      </c>
      <c r="CG12" s="1">
        <v>100</v>
      </c>
      <c r="CH12" s="1">
        <v>50</v>
      </c>
      <c r="CI12" s="1">
        <v>60</v>
      </c>
      <c r="CJ12" s="1">
        <v>50</v>
      </c>
      <c r="CK12" s="1">
        <v>70</v>
      </c>
      <c r="CL12" s="1">
        <v>100</v>
      </c>
      <c r="CM12" s="1">
        <v>100</v>
      </c>
      <c r="CN12" s="1">
        <v>50</v>
      </c>
      <c r="CO12" s="1">
        <v>90</v>
      </c>
      <c r="CP12" s="1">
        <v>80</v>
      </c>
      <c r="CQ12" s="1">
        <v>80</v>
      </c>
      <c r="CR12" s="1">
        <v>90</v>
      </c>
      <c r="CS12" s="1">
        <v>100</v>
      </c>
      <c r="CT12" s="1">
        <v>100</v>
      </c>
      <c r="CU12" s="1">
        <v>70</v>
      </c>
      <c r="CV12" s="1">
        <v>90</v>
      </c>
      <c r="CW12" s="1">
        <v>100</v>
      </c>
      <c r="CX12" s="1">
        <v>80</v>
      </c>
      <c r="CY12" s="1">
        <v>80</v>
      </c>
      <c r="CZ12" s="1">
        <v>80</v>
      </c>
      <c r="DA12" s="1">
        <v>90</v>
      </c>
    </row>
    <row r="13" spans="1:105" x14ac:dyDescent="0.2">
      <c r="A13" s="142">
        <f>'Formations réalisées'!A12</f>
        <v>38147</v>
      </c>
      <c r="B13" s="141" t="str">
        <f>'Formations réalisées'!B12</f>
        <v>BPC Investigateur Novo Nordisk</v>
      </c>
      <c r="C13" s="141">
        <f>'Formations réalisées'!C12</f>
        <v>8</v>
      </c>
      <c r="D13" s="158">
        <f>(80+80)/2</f>
        <v>80</v>
      </c>
      <c r="E13" s="114">
        <f>(90+80)/2</f>
        <v>85</v>
      </c>
      <c r="F13" s="158">
        <f>(85+80)/2</f>
        <v>82.5</v>
      </c>
      <c r="G13" s="114">
        <f>(90+80)/2</f>
        <v>85</v>
      </c>
      <c r="H13" s="146">
        <f t="shared" si="0"/>
        <v>83.125</v>
      </c>
      <c r="I13" s="143" t="str">
        <f>'Formations réalisées'!N12</f>
        <v>inter (EM)</v>
      </c>
      <c r="J13" s="166" t="str">
        <f>'Formations réalisées'!O12</f>
        <v>+1 jour de prépa de Cdrom !!</v>
      </c>
      <c r="L13" s="29" t="s">
        <v>119</v>
      </c>
      <c r="M13" s="1" t="s">
        <v>107</v>
      </c>
      <c r="N13" s="1">
        <v>90</v>
      </c>
      <c r="O13" s="1">
        <v>100</v>
      </c>
      <c r="P13" s="1">
        <v>80</v>
      </c>
      <c r="Q13" s="1">
        <v>80</v>
      </c>
      <c r="R13" s="1">
        <v>100</v>
      </c>
      <c r="S13" s="1">
        <v>100</v>
      </c>
      <c r="T13" s="1">
        <v>100</v>
      </c>
      <c r="U13" s="1">
        <v>90</v>
      </c>
      <c r="V13" s="1">
        <v>100</v>
      </c>
      <c r="W13" s="1">
        <v>100</v>
      </c>
      <c r="X13" s="1">
        <v>100</v>
      </c>
      <c r="Y13" s="1">
        <v>100</v>
      </c>
      <c r="Z13" s="1">
        <v>90</v>
      </c>
      <c r="AA13" s="1">
        <v>80</v>
      </c>
      <c r="AB13" s="1">
        <v>70</v>
      </c>
      <c r="AC13" s="1">
        <v>70</v>
      </c>
      <c r="AD13" s="1">
        <v>80</v>
      </c>
      <c r="AE13" s="1">
        <v>70</v>
      </c>
      <c r="AF13" s="1">
        <v>90</v>
      </c>
      <c r="AG13" s="1">
        <v>100</v>
      </c>
      <c r="AH13" s="1">
        <v>100</v>
      </c>
      <c r="AI13" s="1">
        <v>80</v>
      </c>
      <c r="AJ13" s="1">
        <v>85</v>
      </c>
      <c r="AK13" s="1">
        <v>80</v>
      </c>
      <c r="AL13" s="1">
        <v>100</v>
      </c>
      <c r="AM13" s="1">
        <v>99</v>
      </c>
      <c r="AN13" s="1">
        <v>70</v>
      </c>
      <c r="AO13" s="1">
        <v>90</v>
      </c>
      <c r="AP13" s="1">
        <v>80</v>
      </c>
      <c r="AQ13" s="1">
        <v>95</v>
      </c>
      <c r="AR13" s="1">
        <v>90</v>
      </c>
      <c r="AS13" s="1">
        <v>80</v>
      </c>
      <c r="AT13" s="1">
        <v>100</v>
      </c>
      <c r="AU13" s="1">
        <v>85</v>
      </c>
      <c r="AV13" s="1">
        <v>90</v>
      </c>
      <c r="AW13" s="1">
        <v>75</v>
      </c>
      <c r="AX13" s="1">
        <v>80</v>
      </c>
      <c r="AY13" s="1">
        <v>90</v>
      </c>
      <c r="AZ13" s="1">
        <v>80</v>
      </c>
      <c r="BA13" s="1">
        <v>75</v>
      </c>
      <c r="BB13" s="1">
        <v>75</v>
      </c>
      <c r="BC13" s="1">
        <v>80</v>
      </c>
      <c r="BD13" s="1">
        <v>100</v>
      </c>
      <c r="BE13" s="1">
        <v>100</v>
      </c>
      <c r="BF13" s="1">
        <v>100</v>
      </c>
      <c r="BG13" s="1">
        <v>80</v>
      </c>
      <c r="BH13" s="1">
        <v>80</v>
      </c>
      <c r="BI13" s="1">
        <v>80</v>
      </c>
      <c r="BJ13" s="1">
        <v>90</v>
      </c>
      <c r="BK13" s="1">
        <v>80</v>
      </c>
      <c r="BL13" s="1">
        <v>90</v>
      </c>
      <c r="BM13" s="1">
        <v>80</v>
      </c>
      <c r="BN13" s="1">
        <v>100</v>
      </c>
      <c r="BO13" s="1">
        <v>100</v>
      </c>
      <c r="BP13" s="1">
        <v>100</v>
      </c>
      <c r="BQ13" s="1">
        <v>100</v>
      </c>
      <c r="BR13" s="1">
        <v>100</v>
      </c>
      <c r="BS13" s="1">
        <v>100</v>
      </c>
      <c r="BT13" s="1">
        <v>95</v>
      </c>
      <c r="BU13" s="1">
        <v>80</v>
      </c>
      <c r="BV13" s="1">
        <v>100</v>
      </c>
      <c r="BW13" s="1">
        <v>80</v>
      </c>
      <c r="BX13" s="1">
        <v>99.9</v>
      </c>
      <c r="BY13" s="1">
        <v>100</v>
      </c>
      <c r="BZ13" s="1">
        <v>95</v>
      </c>
      <c r="CA13" s="1">
        <v>90</v>
      </c>
      <c r="CB13" s="1">
        <v>70</v>
      </c>
      <c r="CC13" s="1">
        <v>60</v>
      </c>
      <c r="CD13" s="1">
        <v>70</v>
      </c>
      <c r="CE13" s="1">
        <v>85</v>
      </c>
      <c r="CF13" s="1">
        <v>75</v>
      </c>
      <c r="CG13" s="1">
        <v>100</v>
      </c>
      <c r="CH13" s="1">
        <v>70</v>
      </c>
      <c r="CI13" s="1">
        <v>60</v>
      </c>
      <c r="CJ13" s="1">
        <v>60</v>
      </c>
      <c r="CK13" s="1">
        <v>60</v>
      </c>
      <c r="CL13" s="1">
        <v>90</v>
      </c>
      <c r="CM13" s="1">
        <v>100</v>
      </c>
      <c r="CN13" s="1">
        <v>50</v>
      </c>
      <c r="CO13" s="1">
        <v>80</v>
      </c>
      <c r="CP13" s="1">
        <v>70</v>
      </c>
      <c r="CQ13" s="1">
        <v>80</v>
      </c>
      <c r="CR13" s="1">
        <v>80</v>
      </c>
      <c r="CS13" s="1">
        <v>100</v>
      </c>
      <c r="CT13" s="1">
        <v>100</v>
      </c>
      <c r="CU13" s="1">
        <v>80</v>
      </c>
      <c r="CV13" s="1">
        <v>80</v>
      </c>
      <c r="CW13" s="1">
        <v>100</v>
      </c>
      <c r="CX13" s="1">
        <v>80</v>
      </c>
      <c r="CY13" s="1">
        <v>90</v>
      </c>
      <c r="CZ13" s="1">
        <v>80</v>
      </c>
      <c r="DA13" s="1">
        <v>90</v>
      </c>
    </row>
    <row r="14" spans="1:105" x14ac:dyDescent="0.2">
      <c r="A14" s="142">
        <v>38148</v>
      </c>
      <c r="B14" s="141" t="str">
        <f>'Formations réalisées'!B13</f>
        <v>CIC Marseille - MAJ Loi Huriet</v>
      </c>
      <c r="C14" s="141">
        <f>'Formations réalisées'!C13</f>
        <v>18</v>
      </c>
      <c r="D14" s="114">
        <f>(90+80+80+80+100+100+100+100+100+100+100+50+75+100+100)/15</f>
        <v>90.333333333333329</v>
      </c>
      <c r="E14" s="114">
        <f>(100+80+90+80+100+100+100+100+100+100+100+50+75+100+100)/15</f>
        <v>91.666666666666671</v>
      </c>
      <c r="F14" s="114">
        <f>(90+90+80+80+100+100+100+100+100+100+100+75+80+80+90)/15</f>
        <v>91</v>
      </c>
      <c r="G14" s="114">
        <f>(90+90+90+80+100+100+100+100+100+100+100+75+75+80+90)/15</f>
        <v>91.333333333333329</v>
      </c>
      <c r="H14" s="146">
        <f t="shared" si="0"/>
        <v>91.083333333333329</v>
      </c>
      <c r="I14" s="143" t="s">
        <v>54</v>
      </c>
      <c r="J14" s="168" t="str">
        <f>IF('Formations réalisées'!O13=0,"",'Formations réalisées'!O13)</f>
        <v/>
      </c>
      <c r="K14" s="157" t="str">
        <f>IF('Formations réalisées'!P13=0,"",'Formations réalisées'!P13)</f>
        <v/>
      </c>
    </row>
    <row r="15" spans="1:105" x14ac:dyDescent="0.2">
      <c r="A15" s="142">
        <v>38328</v>
      </c>
      <c r="B15" s="141" t="s">
        <v>123</v>
      </c>
      <c r="C15" s="155">
        <v>12</v>
      </c>
      <c r="D15" s="114">
        <f>(100+90+75+70+80+80+80+100+100+90+100)/11</f>
        <v>87.727272727272734</v>
      </c>
      <c r="E15" s="114">
        <f>(100+90+80+80+100+100+70+100+100+90+100)/11</f>
        <v>91.818181818181813</v>
      </c>
      <c r="F15" s="158">
        <f>(100+90+100+100+90+75+70+70+40+60+100)/11</f>
        <v>81.36363636363636</v>
      </c>
      <c r="G15" s="114">
        <f>(70+70+80+75+80+100+100+90+100+70+100)/11</f>
        <v>85</v>
      </c>
      <c r="H15" s="146">
        <f t="shared" si="0"/>
        <v>86.477272727272734</v>
      </c>
      <c r="I15" s="156" t="s">
        <v>121</v>
      </c>
      <c r="J15" s="168" t="s">
        <v>122</v>
      </c>
      <c r="K15" s="157" t="str">
        <f>IF('Formations réalisées'!P14=0,"",'Formations réalisées'!P14)</f>
        <v/>
      </c>
    </row>
    <row r="16" spans="1:105" x14ac:dyDescent="0.2">
      <c r="A16" s="142">
        <v>38330</v>
      </c>
      <c r="B16" s="141" t="s">
        <v>124</v>
      </c>
      <c r="C16" s="155">
        <f>IF('Formations réalisées'!C15=0,"",'Formations réalisées'!C15)</f>
        <v>17</v>
      </c>
      <c r="D16" s="114">
        <f>(80+100+100+80+80+100+80+90+80+90+80+90+80+90+80+90)/16</f>
        <v>86.875</v>
      </c>
      <c r="E16" s="158">
        <f>(60+100+100+70+80+100+80+90+50+90+80+95+50+80+80+100)/16</f>
        <v>81.5625</v>
      </c>
      <c r="F16" s="158">
        <f>(80+100+100+80+80+100+80+90+50+70+90+90+70+90+80+80)/16</f>
        <v>83.125</v>
      </c>
      <c r="G16" s="114">
        <f>(80+100+100+90+80+100+80+90+80+90+90+90+70+90+80+80)/16</f>
        <v>86.875</v>
      </c>
      <c r="H16" s="165">
        <f t="shared" si="0"/>
        <v>84.609375</v>
      </c>
      <c r="I16" s="156" t="str">
        <f>IF('Formations réalisées'!N15=0,"",'Formations réalisées'!N15)</f>
        <v>intra (EM)</v>
      </c>
      <c r="J16" s="168" t="str">
        <f>IF('Formations réalisées'!O15=0,"",'Formations réalisées'!O15)</f>
        <v/>
      </c>
      <c r="K16" s="157" t="str">
        <f>IF('Formations réalisées'!P15=0,"",'Formations réalisées'!P15)</f>
        <v/>
      </c>
    </row>
    <row r="17" spans="1:12" x14ac:dyDescent="0.2">
      <c r="A17" s="155" t="str">
        <f>IF('Formations réalisées'!A16=0,"",'Formations réalisées'!A16)</f>
        <v>16-17/12/04</v>
      </c>
      <c r="B17" s="155" t="str">
        <f>IF('Formations réalisées'!B16=0,"",'Formations réalisées'!B16)</f>
        <v>Management Qualité</v>
      </c>
      <c r="C17" s="155">
        <f>IF('Formations réalisées'!C16=0,"",'Formations réalisées'!C16)</f>
        <v>5</v>
      </c>
      <c r="D17" s="114"/>
      <c r="E17" s="114"/>
      <c r="F17" s="114"/>
      <c r="G17" s="114"/>
      <c r="H17" s="146" t="str">
        <f t="shared" si="0"/>
        <v/>
      </c>
      <c r="I17" s="156" t="str">
        <f>IF('Formations réalisées'!N16=0,"",'Formations réalisées'!N16)</f>
        <v>inter</v>
      </c>
      <c r="J17" s="168" t="str">
        <f>IF('Formations réalisées'!O16=0,"",'Formations réalisées'!O16)</f>
        <v/>
      </c>
      <c r="K17" s="157" t="str">
        <f>IF('Formations réalisées'!P16=0,"",'Formations réalisées'!P16)</f>
        <v/>
      </c>
    </row>
    <row r="18" spans="1:12" x14ac:dyDescent="0.2">
      <c r="A18" s="142">
        <f>IF('Formations réalisées'!A17=0,"",'Formations réalisées'!A17)</f>
        <v>38401</v>
      </c>
      <c r="B18" s="155" t="str">
        <f>IF('Formations réalisées'!B17=0,"",'Formations réalisées'!B17)</f>
        <v>Dir Eur MAPI</v>
      </c>
      <c r="C18" s="155" t="str">
        <f>IF('Formations réalisées'!C17=0,"",'Formations réalisées'!C17)</f>
        <v/>
      </c>
      <c r="D18" s="114"/>
      <c r="E18" s="114"/>
      <c r="F18" s="114"/>
      <c r="G18" s="114"/>
      <c r="H18" s="146" t="str">
        <f t="shared" si="0"/>
        <v/>
      </c>
      <c r="I18" s="156" t="str">
        <f>IF('Formations réalisées'!N17=0,"",'Formations réalisées'!N17)</f>
        <v>intra (SD)</v>
      </c>
      <c r="J18" s="168" t="str">
        <f>IF('Formations réalisées'!O17=0,"",'Formations réalisées'!O17)</f>
        <v>1 j de capitalisation+1h40 de questions après formation</v>
      </c>
      <c r="K18" s="157" t="str">
        <f>IF('Formations réalisées'!P17=0,"",'Formations réalisées'!P17)</f>
        <v/>
      </c>
    </row>
    <row r="19" spans="1:12" x14ac:dyDescent="0.2">
      <c r="A19" s="142" t="str">
        <f>IF('Formations réalisées'!A18=0,"",'Formations réalisées'!A18)</f>
        <v>17-18/03/05</v>
      </c>
      <c r="B19" s="155" t="str">
        <f>IF('Formations réalisées'!B18=0,"",'Formations réalisées'!B18)</f>
        <v>Savoir-faire Audit</v>
      </c>
      <c r="C19" s="155">
        <f>IF('Formations réalisées'!C18=0,"",'Formations réalisées'!C18)</f>
        <v>5</v>
      </c>
      <c r="D19" s="114"/>
      <c r="E19" s="114"/>
      <c r="F19" s="114"/>
      <c r="G19" s="114"/>
      <c r="H19" s="146" t="str">
        <f t="shared" si="0"/>
        <v/>
      </c>
      <c r="I19" s="156" t="str">
        <f>IF('Formations réalisées'!N18=0,"",'Formations réalisées'!N18)</f>
        <v>inter</v>
      </c>
      <c r="J19" s="168" t="str">
        <f>IF('Formations réalisées'!O18=0,"",'Formations réalisées'!O18)</f>
        <v/>
      </c>
      <c r="K19" s="157" t="str">
        <f>IF('Formations réalisées'!P18=0,"",'Formations réalisées'!P18)</f>
        <v/>
      </c>
    </row>
    <row r="20" spans="1:12" x14ac:dyDescent="0.2">
      <c r="A20" s="142" t="str">
        <f>IF('Formations réalisées'!A19=0,"",'Formations réalisées'!A19)</f>
        <v>17-18/11/05</v>
      </c>
      <c r="B20" s="155" t="str">
        <f>IF('Formations réalisées'!B19=0,"",'Formations réalisées'!B19)</f>
        <v>Savoir-faire Audit</v>
      </c>
      <c r="C20" s="155">
        <f>IF('Formations réalisées'!C19=0,"",'Formations réalisées'!C19)</f>
        <v>3</v>
      </c>
      <c r="D20" s="114"/>
      <c r="E20" s="114"/>
      <c r="F20" s="114"/>
      <c r="G20" s="114"/>
      <c r="H20" s="146" t="str">
        <f t="shared" si="0"/>
        <v/>
      </c>
      <c r="I20" s="156" t="str">
        <f>IF('Formations réalisées'!N19=0,"",'Formations réalisées'!N19)</f>
        <v>inter (FAN)</v>
      </c>
      <c r="J20" s="168" t="str">
        <f>IF('Formations réalisées'!O19=0,"",'Formations réalisées'!O19)</f>
        <v/>
      </c>
      <c r="K20" s="157" t="str">
        <f>IF('Formations réalisées'!P19=0,"",'Formations réalisées'!P19)</f>
        <v/>
      </c>
    </row>
    <row r="21" spans="1:12" x14ac:dyDescent="0.2">
      <c r="A21" s="142">
        <f>IF('Formations réalisées'!A20=0,"",'Formations réalisées'!A20)</f>
        <v>38748</v>
      </c>
      <c r="B21" s="155" t="str">
        <f>IF('Formations réalisées'!B20=0,"",'Formations réalisées'!B20)</f>
        <v>BPC SYNARC</v>
      </c>
      <c r="C21" s="155">
        <f>IF('Formations réalisées'!C20=0,"",'Formations réalisées'!C20)</f>
        <v>5</v>
      </c>
      <c r="D21" s="114">
        <f>(100+80+90+85+90)/5</f>
        <v>89</v>
      </c>
      <c r="E21" s="114">
        <f>(100+70+100+92+100)/5</f>
        <v>92.4</v>
      </c>
      <c r="F21" s="114">
        <f>(75+90+80+90+90)/5</f>
        <v>85</v>
      </c>
      <c r="G21" s="114">
        <f>(90+80+90+90+90)/5</f>
        <v>88</v>
      </c>
      <c r="H21" s="146">
        <f t="shared" si="0"/>
        <v>88.6</v>
      </c>
      <c r="I21" s="156" t="str">
        <f>IF('Formations réalisées'!N20=0,"",'Formations réalisées'!N20)</f>
        <v>intra (EM)</v>
      </c>
      <c r="J21" s="168" t="str">
        <f>IF('Formations réalisées'!O20=0,"",'Formations réalisées'!O20)</f>
        <v/>
      </c>
      <c r="K21" s="157" t="str">
        <f>IF('Formations réalisées'!P20=0,"",'Formations réalisées'!P20)</f>
        <v/>
      </c>
    </row>
    <row r="22" spans="1:12" x14ac:dyDescent="0.2">
      <c r="A22" s="142">
        <f>IF('Formations réalisées'!A21=0,"",'Formations réalisées'!A21)</f>
        <v>38740</v>
      </c>
      <c r="B22" s="155" t="str">
        <f>IF('Formations réalisées'!B21=0,"",'Formations réalisées'!B21)</f>
        <v>LPSP FOURNIER</v>
      </c>
      <c r="C22" s="155">
        <f>IF('Formations réalisées'!C21=0,"",'Formations réalisées'!C21)</f>
        <v>20</v>
      </c>
      <c r="D22" s="114"/>
      <c r="E22" s="114"/>
      <c r="F22" s="114"/>
      <c r="G22" s="114"/>
      <c r="H22" s="146" t="str">
        <f t="shared" si="0"/>
        <v/>
      </c>
      <c r="I22" s="156" t="str">
        <f>IF('Formations réalisées'!N21=0,"",'Formations réalisées'!N21)</f>
        <v>intra (FAN)</v>
      </c>
      <c r="J22" s="168" t="str">
        <f>IF('Formations réalisées'!O21=0,"",'Formations réalisées'!O21)</f>
        <v>formulaires d'évaluation FOURNIER</v>
      </c>
      <c r="K22" s="157" t="str">
        <f>IF('Formations réalisées'!P21=0,"",'Formations réalisées'!P21)</f>
        <v/>
      </c>
    </row>
    <row r="23" spans="1:12" x14ac:dyDescent="0.2">
      <c r="A23" s="142">
        <f>IF('Formations réalisées'!A22=0,"",'Formations réalisées'!A22)</f>
        <v>38797</v>
      </c>
      <c r="B23" s="155" t="str">
        <f>IF('Formations réalisées'!B22=0,"",'Formations réalisées'!B22)</f>
        <v>Lab centraux FOURNIER</v>
      </c>
      <c r="C23" s="155">
        <f>IF('Formations réalisées'!C22=0,"",'Formations réalisées'!C22)</f>
        <v>13</v>
      </c>
      <c r="D23" s="158">
        <f>(80+98+95+30+70+90+90+60+90+80+90+60+30)/13</f>
        <v>74.07692307692308</v>
      </c>
      <c r="E23" s="158">
        <f>(70+96+100+60+70+100+100+70+90+70+90+70+60)/13</f>
        <v>80.461538461538467</v>
      </c>
      <c r="F23" s="158">
        <f>(80+90+95+30+50+50+90+50+75+80+90+50+30)/13</f>
        <v>66.15384615384616</v>
      </c>
      <c r="G23" s="158">
        <f>(80+97+100+30+70+50+90+60+90+80+90+50+40)/13</f>
        <v>71.307692307692307</v>
      </c>
      <c r="H23" s="170">
        <f t="shared" si="0"/>
        <v>73</v>
      </c>
      <c r="I23" s="156" t="str">
        <f>IF('Formations réalisées'!N22=0,"",'Formations réalisées'!N22)</f>
        <v>intra (EM)</v>
      </c>
      <c r="J23" s="168" t="str">
        <f>IF('Formations réalisées'!O22=0,"",'Formations réalisées'!O22)</f>
        <v/>
      </c>
      <c r="K23" s="157" t="str">
        <f>IF('Formations réalisées'!P22=0,"",'Formations réalisées'!P22)</f>
        <v/>
      </c>
      <c r="L23" s="29" t="s">
        <v>143</v>
      </c>
    </row>
    <row r="24" spans="1:12" x14ac:dyDescent="0.2">
      <c r="A24" s="142" t="str">
        <f>IF('Formations réalisées'!A23=0,"",'Formations réalisées'!A23)</f>
        <v/>
      </c>
      <c r="B24" s="155" t="str">
        <f>IF('Formations réalisées'!B23=0,"",'Formations réalisées'!B23)</f>
        <v/>
      </c>
      <c r="C24" s="155" t="str">
        <f>IF('Formations réalisées'!C23=0,"",'Formations réalisées'!C23)</f>
        <v/>
      </c>
      <c r="D24" s="114"/>
      <c r="E24" s="114"/>
      <c r="F24" s="114"/>
      <c r="G24" s="114"/>
      <c r="H24" s="146" t="str">
        <f t="shared" si="0"/>
        <v/>
      </c>
      <c r="I24" s="156" t="str">
        <f>IF('Formations réalisées'!N23=0,"",'Formations réalisées'!N23)</f>
        <v/>
      </c>
      <c r="J24" s="168" t="str">
        <f>IF('Formations réalisées'!O23=0,"",'Formations réalisées'!O23)</f>
        <v/>
      </c>
      <c r="K24" s="157" t="str">
        <f>IF('Formations réalisées'!P23=0,"",'Formations réalisées'!P23)</f>
        <v/>
      </c>
    </row>
    <row r="25" spans="1:12" x14ac:dyDescent="0.2">
      <c r="A25" s="142" t="str">
        <f>IF('Formations réalisées'!A24=0,"",'Formations réalisées'!A24)</f>
        <v/>
      </c>
      <c r="B25" s="155" t="str">
        <f>IF('Formations réalisées'!B24=0,"",'Formations réalisées'!B24)</f>
        <v/>
      </c>
      <c r="C25" s="155" t="str">
        <f>IF('Formations réalisées'!C24=0,"",'Formations réalisées'!C24)</f>
        <v/>
      </c>
      <c r="D25" s="114"/>
      <c r="E25" s="114"/>
      <c r="F25" s="114"/>
      <c r="G25" s="114"/>
      <c r="H25" s="146" t="str">
        <f t="shared" si="0"/>
        <v/>
      </c>
      <c r="I25" s="156" t="str">
        <f>IF('Formations réalisées'!N24=0,"",'Formations réalisées'!N24)</f>
        <v/>
      </c>
      <c r="J25" s="168" t="str">
        <f>IF('Formations réalisées'!O24=0,"",'Formations réalisées'!O24)</f>
        <v/>
      </c>
      <c r="K25" s="157" t="str">
        <f>IF('Formations réalisées'!P24=0,"",'Formations réalisées'!P24)</f>
        <v/>
      </c>
    </row>
    <row r="26" spans="1:12" x14ac:dyDescent="0.2">
      <c r="A26" s="142" t="str">
        <f>IF('Formations réalisées'!A25=0,"",'Formations réalisées'!A25)</f>
        <v/>
      </c>
      <c r="B26" s="155" t="str">
        <f>IF('Formations réalisées'!B25=0,"",'Formations réalisées'!B25)</f>
        <v/>
      </c>
      <c r="C26" s="155" t="str">
        <f>IF('Formations réalisées'!C25=0,"",'Formations réalisées'!C25)</f>
        <v/>
      </c>
      <c r="D26" s="114"/>
      <c r="E26" s="114"/>
      <c r="F26" s="114"/>
      <c r="G26" s="114"/>
      <c r="H26" s="146" t="str">
        <f t="shared" si="0"/>
        <v/>
      </c>
      <c r="I26" s="156" t="str">
        <f>IF('Formations réalisées'!N25=0,"",'Formations réalisées'!N25)</f>
        <v/>
      </c>
      <c r="J26" s="168" t="str">
        <f>IF('Formations réalisées'!O25=0,"",'Formations réalisées'!O25)</f>
        <v/>
      </c>
      <c r="K26" s="157" t="str">
        <f>IF('Formations réalisées'!P25=0,"",'Formations réalisées'!P25)</f>
        <v/>
      </c>
    </row>
    <row r="27" spans="1:12" x14ac:dyDescent="0.2">
      <c r="A27" s="142" t="str">
        <f>IF('Formations réalisées'!A26=0,"",'Formations réalisées'!A26)</f>
        <v/>
      </c>
      <c r="B27" s="155" t="str">
        <f>IF('Formations réalisées'!B26=0,"",'Formations réalisées'!B26)</f>
        <v/>
      </c>
      <c r="C27" s="155" t="str">
        <f>IF('Formations réalisées'!C26=0,"",'Formations réalisées'!C26)</f>
        <v/>
      </c>
      <c r="D27" s="114"/>
      <c r="E27" s="114"/>
      <c r="F27" s="114"/>
      <c r="G27" s="114"/>
      <c r="H27" s="146" t="str">
        <f t="shared" si="0"/>
        <v/>
      </c>
      <c r="I27" s="156" t="str">
        <f>IF('Formations réalisées'!N26=0,"",'Formations réalisées'!N26)</f>
        <v/>
      </c>
      <c r="J27" s="168" t="str">
        <f>IF('Formations réalisées'!O26=0,"",'Formations réalisées'!O26)</f>
        <v/>
      </c>
      <c r="K27" s="157" t="str">
        <f>IF('Formations réalisées'!P26=0,"",'Formations réalisées'!P26)</f>
        <v/>
      </c>
    </row>
    <row r="28" spans="1:12" x14ac:dyDescent="0.2">
      <c r="A28" s="142" t="str">
        <f>IF('Formations réalisées'!A27=0,"",'Formations réalisées'!A27)</f>
        <v/>
      </c>
      <c r="B28" s="155" t="str">
        <f>IF('Formations réalisées'!B27=0,"",'Formations réalisées'!B27)</f>
        <v/>
      </c>
      <c r="C28" s="155" t="str">
        <f>IF('Formations réalisées'!C27=0,"",'Formations réalisées'!C27)</f>
        <v/>
      </c>
      <c r="D28" s="114"/>
      <c r="E28" s="114"/>
      <c r="F28" s="114"/>
      <c r="G28" s="114"/>
      <c r="H28" s="146" t="str">
        <f t="shared" si="0"/>
        <v/>
      </c>
      <c r="I28" s="156" t="str">
        <f>IF('Formations réalisées'!N27=0,"",'Formations réalisées'!N27)</f>
        <v/>
      </c>
      <c r="J28" s="168" t="str">
        <f>IF('Formations réalisées'!O27=0,"",'Formations réalisées'!O27)</f>
        <v/>
      </c>
      <c r="K28" s="157" t="str">
        <f>IF('Formations réalisées'!P27=0,"",'Formations réalisées'!P27)</f>
        <v/>
      </c>
    </row>
    <row r="29" spans="1:12" x14ac:dyDescent="0.2">
      <c r="A29" s="142" t="str">
        <f>IF('Formations réalisées'!A28=0,"",'Formations réalisées'!A28)</f>
        <v/>
      </c>
      <c r="B29" s="155" t="str">
        <f>IF('Formations réalisées'!B28=0,"",'Formations réalisées'!B28)</f>
        <v/>
      </c>
      <c r="C29" s="155" t="str">
        <f>IF('Formations réalisées'!C28=0,"",'Formations réalisées'!C28)</f>
        <v/>
      </c>
      <c r="D29" s="114"/>
      <c r="E29" s="114"/>
      <c r="F29" s="114"/>
      <c r="G29" s="114"/>
      <c r="H29" s="146" t="str">
        <f t="shared" si="0"/>
        <v/>
      </c>
      <c r="I29" s="156" t="str">
        <f>IF('Formations réalisées'!N28=0,"",'Formations réalisées'!N28)</f>
        <v/>
      </c>
      <c r="J29" s="168" t="str">
        <f>IF('Formations réalisées'!O28=0,"",'Formations réalisées'!O28)</f>
        <v/>
      </c>
      <c r="K29" s="157" t="str">
        <f>IF('Formations réalisées'!P28=0,"",'Formations réalisées'!P28)</f>
        <v/>
      </c>
    </row>
    <row r="30" spans="1:12" x14ac:dyDescent="0.2">
      <c r="A30" s="142" t="str">
        <f>IF('Formations réalisées'!A29=0,"",'Formations réalisées'!A29)</f>
        <v/>
      </c>
      <c r="B30" s="155" t="str">
        <f>IF('Formations réalisées'!B29=0,"",'Formations réalisées'!B29)</f>
        <v/>
      </c>
      <c r="C30" s="155" t="str">
        <f>IF('Formations réalisées'!C29=0,"",'Formations réalisées'!C29)</f>
        <v/>
      </c>
      <c r="D30" s="114"/>
      <c r="E30" s="114"/>
      <c r="F30" s="114"/>
      <c r="G30" s="114"/>
      <c r="H30" s="146" t="str">
        <f t="shared" si="0"/>
        <v/>
      </c>
      <c r="I30" s="156" t="str">
        <f>IF('Formations réalisées'!N29=0,"",'Formations réalisées'!N29)</f>
        <v/>
      </c>
      <c r="J30" s="168" t="str">
        <f>IF('Formations réalisées'!O29=0,"",'Formations réalisées'!O29)</f>
        <v/>
      </c>
      <c r="K30" s="157" t="str">
        <f>IF('Formations réalisées'!P29=0,"",'Formations réalisées'!P29)</f>
        <v/>
      </c>
    </row>
    <row r="31" spans="1:12" ht="13.5" thickBot="1" x14ac:dyDescent="0.25">
      <c r="A31" s="142" t="str">
        <f>IF('Formations réalisées'!A30=0,"",'Formations réalisées'!A30)</f>
        <v/>
      </c>
      <c r="B31" s="155" t="str">
        <f>IF('Formations réalisées'!B30=0,"",'Formations réalisées'!B30)</f>
        <v/>
      </c>
      <c r="C31" s="155" t="str">
        <f>IF('Formations réalisées'!C30=0,"",'Formations réalisées'!C30)</f>
        <v/>
      </c>
      <c r="D31" s="116"/>
      <c r="E31" s="116"/>
      <c r="F31" s="116"/>
      <c r="G31" s="116"/>
      <c r="H31" s="146" t="str">
        <f t="shared" si="0"/>
        <v/>
      </c>
      <c r="I31" s="156" t="str">
        <f>IF('Formations réalisées'!N30=0,"",'Formations réalisées'!N30)</f>
        <v/>
      </c>
      <c r="J31" s="168" t="str">
        <f>IF('Formations réalisées'!O30=0,"",'Formations réalisées'!O30)</f>
        <v/>
      </c>
      <c r="K31" s="157" t="str">
        <f>IF('Formations réalisées'!P30=0,"",'Formations réalisées'!P30)</f>
        <v/>
      </c>
    </row>
    <row r="32" spans="1:12" ht="3" customHeight="1" thickBot="1" x14ac:dyDescent="0.25">
      <c r="E32" s="148">
        <f t="shared" ref="E32:G33" si="1">IF(AVERAGE(E2:E30)&gt;80,AVERAGE(E2:E30),"")</f>
        <v>88.249292752701834</v>
      </c>
      <c r="F32" s="148">
        <f t="shared" si="1"/>
        <v>84.649316592498408</v>
      </c>
      <c r="G32" s="148">
        <f t="shared" si="1"/>
        <v>87.43168414918415</v>
      </c>
      <c r="H32" s="148"/>
    </row>
    <row r="33" spans="1:8" x14ac:dyDescent="0.2">
      <c r="A33" s="35"/>
      <c r="B33" s="36" t="s">
        <v>35</v>
      </c>
      <c r="C33" s="204" t="s">
        <v>101</v>
      </c>
      <c r="D33" s="152">
        <f>IF(AVERAGE(D3:D31)&gt;80,AVERAGE(D3:D31),"")</f>
        <v>87.264775376139013</v>
      </c>
      <c r="E33" s="153">
        <f t="shared" si="1"/>
        <v>88.249292752701834</v>
      </c>
      <c r="F33" s="153">
        <f t="shared" si="1"/>
        <v>84.649316592498408</v>
      </c>
      <c r="G33" s="154">
        <f t="shared" si="1"/>
        <v>87.43168414918415</v>
      </c>
      <c r="H33" s="161"/>
    </row>
    <row r="34" spans="1:8" ht="13.5" thickBot="1" x14ac:dyDescent="0.25">
      <c r="A34" s="194"/>
      <c r="B34" s="195"/>
      <c r="C34" s="204"/>
      <c r="D34" s="149" t="str">
        <f>IF(AVERAGE(D3:D31)&lt;80,AVERAGE(D3:D31),"")</f>
        <v/>
      </c>
      <c r="E34" s="150" t="str">
        <f>IF(AVERAGE(E3:E31)&lt;80,AVERAGE(E3:E31),"")</f>
        <v/>
      </c>
      <c r="F34" s="150" t="str">
        <f>IF(AVERAGE(F3:F31)&lt;80,AVERAGE(F3:F31),"")</f>
        <v/>
      </c>
      <c r="G34" s="151" t="str">
        <f>IF(AVERAGE(G3:G31)&lt;80,AVERAGE(G3:G31),"")</f>
        <v/>
      </c>
      <c r="H34" s="162"/>
    </row>
    <row r="35" spans="1:8" x14ac:dyDescent="0.2">
      <c r="D35" s="29" t="s">
        <v>117</v>
      </c>
    </row>
    <row r="36" spans="1:8" x14ac:dyDescent="0.2">
      <c r="D36" s="160" t="s">
        <v>126</v>
      </c>
    </row>
  </sheetData>
  <mergeCells count="8">
    <mergeCell ref="D1:G1"/>
    <mergeCell ref="I1:J2"/>
    <mergeCell ref="A34:B34"/>
    <mergeCell ref="A1:A2"/>
    <mergeCell ref="B1:B2"/>
    <mergeCell ref="C1:C2"/>
    <mergeCell ref="C33:C34"/>
    <mergeCell ref="H1:H2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  <ignoredErrors>
    <ignoredError sqref="B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Mode d'emploi</vt:lpstr>
      <vt:lpstr>Coût théorique</vt:lpstr>
      <vt:lpstr>coût prospection</vt:lpstr>
      <vt:lpstr>Formations réalisées</vt:lpstr>
      <vt:lpstr>Evaluations</vt:lpstr>
    </vt:vector>
  </TitlesOfParts>
  <Company>SUNNIKAN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MICOUIN</dc:creator>
  <cp:lastModifiedBy>Pierre JOUBERT</cp:lastModifiedBy>
  <dcterms:created xsi:type="dcterms:W3CDTF">2003-10-24T12:49:23Z</dcterms:created>
  <dcterms:modified xsi:type="dcterms:W3CDTF">2015-09-02T10:05:11Z</dcterms:modified>
</cp:coreProperties>
</file>